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comments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15.xml" ContentType="application/vnd.openxmlformats-officedocument.spreadsheetml.comments+xml"/>
  <Override PartName="/xl/comments20.xml" ContentType="application/vnd.openxmlformats-officedocument.spreadsheetml.comments+xml"/>
  <Override PartName="/xl/comments13.xml" ContentType="application/vnd.openxmlformats-officedocument.spreadsheetml.comments+xml"/>
  <Override PartName="/xl/comments21.xml" ContentType="application/vnd.openxmlformats-officedocument.spreadsheetml.comments+xml"/>
  <Override PartName="/xl/comments16.xml" ContentType="application/vnd.openxmlformats-officedocument.spreadsheetml.comments+xml"/>
  <Override PartName="/xl/comments22.xml" ContentType="application/vnd.openxmlformats-officedocument.spreadsheetml.comments+xml"/>
  <Override PartName="/xl/comments14.xml" ContentType="application/vnd.openxmlformats-officedocument.spreadsheetml.comments+xml"/>
  <Override PartName="/xl/comments11.xml" ContentType="application/vnd.openxmlformats-officedocument.spreadsheetml.comments+xml"/>
  <Override PartName="/xl/comments17.xml" ContentType="application/vnd.openxmlformats-officedocument.spreadsheetml.comments+xml"/>
  <Override PartName="/xl/comments2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omments12.xml" ContentType="application/vnd.openxmlformats-officedocument.spreadsheetml.comments+xml"/>
  <Override PartName="/xl/comments2.xml" ContentType="application/vnd.openxmlformats-officedocument.spreadsheetml.comment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showInkAnnotation="0" autoCompressPictures="0"/>
  <mc:AlternateContent xmlns:mc="http://schemas.openxmlformats.org/markup-compatibility/2006">
    <mc:Choice Requires="x15">
      <x15ac:absPath xmlns:x15ac="http://schemas.microsoft.com/office/spreadsheetml/2010/11/ac" url="C:\Users\Madeleine\Desktop\Work\Accreditation 2019\standard III evidence\"/>
    </mc:Choice>
  </mc:AlternateContent>
  <xr:revisionPtr revIDLastSave="0" documentId="8_{7977EF83-0287-4268-ADC6-4297AD5178C4}" xr6:coauthVersionLast="43" xr6:coauthVersionMax="43" xr10:uidLastSave="{00000000-0000-0000-0000-000000000000}"/>
  <bookViews>
    <workbookView xWindow="1020" yWindow="1065" windowWidth="12870" windowHeight="14655" tabRatio="500" activeTab="7" xr2:uid="{00000000-000D-0000-FFFF-FFFF00000000}"/>
  </bookViews>
  <sheets>
    <sheet name="Info" sheetId="23" r:id="rId1"/>
    <sheet name="Assumptions" sheetId="12" r:id="rId2"/>
    <sheet name="Revenues" sheetId="5" r:id="rId3"/>
    <sheet name="Rev-Exp Plan" sheetId="6" r:id="rId4"/>
    <sheet name="Rev-Exp Plan (2)" sheetId="14" r:id="rId5"/>
    <sheet name="Resource Alloc 20-21" sheetId="43" r:id="rId6"/>
    <sheet name="Resource Alloc 19-20" sheetId="40" r:id="rId7"/>
    <sheet name="Resource Alloc 18-19" sheetId="38" r:id="rId8"/>
    <sheet name="Resource Alloc 17-18" sheetId="36" r:id="rId9"/>
    <sheet name="Resource Alloc 16-17" sheetId="35" r:id="rId10"/>
    <sheet name="Resource Alloc 15-16" sheetId="34" r:id="rId11"/>
    <sheet name="Resource Alloc 14-15" sheetId="33" state="hidden" r:id="rId12"/>
    <sheet name="Resource Alloc 13-14" sheetId="30" state="hidden" r:id="rId13"/>
    <sheet name="Resource Alloc 12-13" sheetId="27" state="hidden" r:id="rId14"/>
    <sheet name="Resource Alloc 11-12" sheetId="25" state="hidden" r:id="rId15"/>
    <sheet name="Resource Alloc 10-11" sheetId="24" state="hidden" r:id="rId16"/>
    <sheet name="Resource Alloc 09-10" sheetId="18" state="hidden" r:id="rId17"/>
    <sheet name="Resource Alloc 08-09" sheetId="17" state="hidden" r:id="rId18"/>
    <sheet name="Resource Alloc 07-08" sheetId="11" state="hidden" r:id="rId19"/>
    <sheet name="SB361" sheetId="16" r:id="rId20"/>
    <sheet name="Taxes" sheetId="44" r:id="rId21"/>
    <sheet name="COLA" sheetId="22" r:id="rId22"/>
    <sheet name="Misc 18-19" sheetId="46" r:id="rId23"/>
    <sheet name="MISC 16-17" sheetId="39" r:id="rId24"/>
    <sheet name="Misc 17-18" sheetId="41" r:id="rId25"/>
    <sheet name="Misc" sheetId="32" r:id="rId26"/>
    <sheet name="Foundation" sheetId="19" r:id="rId27"/>
    <sheet name="Sq Ft" sheetId="9" r:id="rId28"/>
    <sheet name="Insurance" sheetId="29" r:id="rId29"/>
    <sheet name="Utilities New" sheetId="47" r:id="rId30"/>
    <sheet name="Utilities" sheetId="31" r:id="rId31"/>
    <sheet name="CPI" sheetId="37" r:id="rId32"/>
    <sheet name="AFT Release Time" sheetId="42" r:id="rId33"/>
  </sheets>
  <externalReferences>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_3yrave" localSheetId="23">'[1]Multi-Year'!#REF!</definedName>
    <definedName name="_3yrave" localSheetId="24">'[1]Multi-Year'!#REF!</definedName>
    <definedName name="_3yrave" localSheetId="22">'[1]Multi-Year'!#REF!</definedName>
    <definedName name="_3yrave" localSheetId="13">'[2]Multi-Year'!#REF!</definedName>
    <definedName name="_3yrave" localSheetId="12">'[2]Multi-Year'!#REF!</definedName>
    <definedName name="_3yrave" localSheetId="11">'[2]Multi-Year'!#REF!</definedName>
    <definedName name="_3yrave" localSheetId="10">'[2]Multi-Year'!#REF!</definedName>
    <definedName name="_3yrave" localSheetId="9">'[2]Multi-Year'!#REF!</definedName>
    <definedName name="_3yrave" localSheetId="8">'[2]Multi-Year'!#REF!</definedName>
    <definedName name="_3yrave" localSheetId="7">'[2]Multi-Year'!#REF!</definedName>
    <definedName name="_3yrave" localSheetId="6">'[2]Multi-Year'!#REF!</definedName>
    <definedName name="_3yrave" localSheetId="5">'[2]Multi-Year'!#REF!</definedName>
    <definedName name="_3yrave">'[2]Multi-Year'!#REF!</definedName>
    <definedName name="_3YrAve2A4" localSheetId="23">'[1]Multi-Year'!#REF!</definedName>
    <definedName name="_3YrAve2A4" localSheetId="24">'[1]Multi-Year'!#REF!</definedName>
    <definedName name="_3YrAve2A4" localSheetId="22">'[1]Multi-Year'!#REF!</definedName>
    <definedName name="_3YrAve2A4" localSheetId="15">'[2]Multi-Year'!#REF!</definedName>
    <definedName name="_3YrAve2A4" localSheetId="14">'[2]Multi-Year'!#REF!</definedName>
    <definedName name="_3YrAve2A4" localSheetId="13">'[2]Multi-Year'!#REF!</definedName>
    <definedName name="_3YrAve2A4" localSheetId="12">'[2]Multi-Year'!#REF!</definedName>
    <definedName name="_3YrAve2A4" localSheetId="11">'[2]Multi-Year'!#REF!</definedName>
    <definedName name="_3YrAve2A4" localSheetId="10">'[2]Multi-Year'!#REF!</definedName>
    <definedName name="_3YrAve2A4" localSheetId="9">'[2]Multi-Year'!#REF!</definedName>
    <definedName name="_3YrAve2A4" localSheetId="8">'[2]Multi-Year'!#REF!</definedName>
    <definedName name="_3YrAve2A4" localSheetId="7">'[2]Multi-Year'!#REF!</definedName>
    <definedName name="_3YrAve2A4" localSheetId="6">'[2]Multi-Year'!#REF!</definedName>
    <definedName name="_3YrAve2A4" localSheetId="5">'[2]Multi-Year'!#REF!</definedName>
    <definedName name="_3YrAve2A4">'[2]Multi-Year'!#REF!</definedName>
    <definedName name="_3YrAve4" localSheetId="23">'[1]4 colleges'!#REF!</definedName>
    <definedName name="_3YrAve4" localSheetId="24">'[1]4 colleges'!#REF!</definedName>
    <definedName name="_3YrAve4" localSheetId="22">'[1]4 colleges'!#REF!</definedName>
    <definedName name="_3YrAve4" localSheetId="15">'[2]4 colleges'!#REF!</definedName>
    <definedName name="_3YrAve4" localSheetId="14">'[2]4 colleges'!#REF!</definedName>
    <definedName name="_3YrAve4" localSheetId="13">'[2]4 colleges'!#REF!</definedName>
    <definedName name="_3YrAve4" localSheetId="12">'[2]4 colleges'!#REF!</definedName>
    <definedName name="_3YrAve4" localSheetId="11">'[2]4 colleges'!#REF!</definedName>
    <definedName name="_3YrAve4" localSheetId="10">'[2]4 colleges'!#REF!</definedName>
    <definedName name="_3YrAve4" localSheetId="9">'[2]4 colleges'!#REF!</definedName>
    <definedName name="_3YrAve4" localSheetId="8">'[2]4 colleges'!#REF!</definedName>
    <definedName name="_3YrAve4" localSheetId="7">'[2]4 colleges'!#REF!</definedName>
    <definedName name="_3YrAve4" localSheetId="6">'[2]4 colleges'!#REF!</definedName>
    <definedName name="_3YrAve4" localSheetId="5">'[2]4 colleges'!#REF!</definedName>
    <definedName name="_3YrAve4">'[2]4 colleges'!#REF!</definedName>
    <definedName name="ABC" localSheetId="22">'[3]Multi-Year'!#REF!</definedName>
    <definedName name="ABC" localSheetId="5">'[4]Multi-Year'!#REF!</definedName>
    <definedName name="ABC">'[4]Multi-Year'!#REF!</definedName>
    <definedName name="AFT_COLA_05.06_06.07">'Rev-Exp Plan'!$R$44</definedName>
    <definedName name="newname" localSheetId="24">'[4]Multi-Year'!#REF!</definedName>
    <definedName name="newname" localSheetId="22">'[3]Multi-Year'!#REF!</definedName>
    <definedName name="newname" localSheetId="10">'[2]Multi-Year'!#REF!</definedName>
    <definedName name="newname" localSheetId="9">'[2]Multi-Year'!#REF!</definedName>
    <definedName name="newname" localSheetId="8">'[2]Multi-Year'!#REF!</definedName>
    <definedName name="newname" localSheetId="7">'[2]Multi-Year'!#REF!</definedName>
    <definedName name="newname" localSheetId="6">'[2]Multi-Year'!#REF!</definedName>
    <definedName name="newname" localSheetId="5">'[2]Multi-Year'!#REF!</definedName>
    <definedName name="newname">'[2]Multi-Year'!#REF!</definedName>
    <definedName name="newname2" localSheetId="24">'[4]Multi-Year'!#REF!</definedName>
    <definedName name="newname2" localSheetId="22">'[3]Multi-Year'!#REF!</definedName>
    <definedName name="newname2" localSheetId="6">'[2]Multi-Year'!#REF!</definedName>
    <definedName name="newname2" localSheetId="5">'[2]Multi-Year'!#REF!</definedName>
    <definedName name="newname2">'[2]Multi-Year'!#REF!</definedName>
    <definedName name="_xlnm.Print_Area" localSheetId="1">Assumptions!$A$134:$L$178</definedName>
    <definedName name="_xlnm.Print_Area" localSheetId="21">COLA!$A$1:$F$9,COLA!$A$167:$F$220</definedName>
    <definedName name="_xlnm.Print_Area" localSheetId="26">Foundation!$A$1:$G$28</definedName>
    <definedName name="_xlnm.Print_Area" localSheetId="28">Insurance!$M$21:$AA$37</definedName>
    <definedName name="_xlnm.Print_Area" localSheetId="18">'Resource Alloc 07-08'!$A$1:$I$108</definedName>
    <definedName name="_xlnm.Print_Area" localSheetId="17">'Resource Alloc 08-09'!$A$95:$H$111</definedName>
    <definedName name="_xlnm.Print_Area" localSheetId="16">'Resource Alloc 09-10'!$A$1:$H$108</definedName>
    <definedName name="_xlnm.Print_Area" localSheetId="15">'Resource Alloc 10-11'!$A$1:$H$109</definedName>
    <definedName name="_xlnm.Print_Area" localSheetId="14">'Resource Alloc 11-12'!$A$1:$H$109</definedName>
    <definedName name="_xlnm.Print_Area" localSheetId="13">'Resource Alloc 12-13'!$A$1:$I$129</definedName>
    <definedName name="_xlnm.Print_Area" localSheetId="12">'Resource Alloc 13-14'!$A$1:$H$120</definedName>
    <definedName name="_xlnm.Print_Area" localSheetId="11">'Resource Alloc 14-15'!$A$1:$I$132</definedName>
    <definedName name="_xlnm.Print_Area" localSheetId="10">'Resource Alloc 15-16'!$A$1:$I$131</definedName>
    <definedName name="_xlnm.Print_Area" localSheetId="9">'Resource Alloc 16-17'!$A$1:$I$122</definedName>
    <definedName name="_xlnm.Print_Area" localSheetId="8">'Resource Alloc 17-18'!$A$1:$H$115</definedName>
    <definedName name="_xlnm.Print_Area" localSheetId="7">'Resource Alloc 18-19'!$A$1:$I$122</definedName>
    <definedName name="_xlnm.Print_Area" localSheetId="6">'Resource Alloc 19-20'!$A$1:$I$122</definedName>
    <definedName name="_xlnm.Print_Area" localSheetId="5">'Resource Alloc 20-21'!$A$1:$I$122</definedName>
    <definedName name="_xlnm.Print_Area" localSheetId="2">Revenues!$A$82:$J$131</definedName>
    <definedName name="_xlnm.Print_Area" localSheetId="3">'Rev-Exp Plan'!$A$1:$AG$56</definedName>
    <definedName name="_xlnm.Print_Area" localSheetId="4">'Rev-Exp Plan (2)'!$A$1:$AC$64</definedName>
    <definedName name="_xlnm.Print_Area" localSheetId="19">'SB361'!$C$57:$M$81</definedName>
    <definedName name="_xlnm.Print_Area" localSheetId="27">'Sq Ft'!$A$261:$H$289</definedName>
    <definedName name="_xlnm.Print_Area" localSheetId="30">Utilities!$A$73:$G$141</definedName>
    <definedName name="_xlnm.Print_Titles" localSheetId="1">Assumptions!$3:$4</definedName>
  </definedNames>
  <calcPr calcId="181029"/>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D116" i="38" l="1"/>
  <c r="H116" i="38"/>
  <c r="D122" i="38" l="1"/>
  <c r="D123" i="38" s="1"/>
  <c r="G27" i="47"/>
  <c r="G31" i="47"/>
  <c r="G33" i="41"/>
  <c r="E14" i="42"/>
  <c r="D14" i="42"/>
  <c r="B66" i="41"/>
  <c r="B79" i="47"/>
  <c r="B16" i="47"/>
  <c r="B19" i="47" s="1"/>
  <c r="B80" i="47"/>
  <c r="B17" i="47"/>
  <c r="B81" i="47" s="1"/>
  <c r="B18" i="47"/>
  <c r="B82" i="47"/>
  <c r="G15" i="47"/>
  <c r="G20" i="47" s="1"/>
  <c r="G19" i="47"/>
  <c r="B9" i="47"/>
  <c r="C9" i="47" s="1"/>
  <c r="B10" i="47"/>
  <c r="B11" i="47"/>
  <c r="B13" i="47"/>
  <c r="B14" i="47"/>
  <c r="B15" i="47"/>
  <c r="B20" i="47" s="1"/>
  <c r="B7" i="47"/>
  <c r="C15" i="47"/>
  <c r="C13" i="47"/>
  <c r="C12" i="47"/>
  <c r="C11" i="47"/>
  <c r="C10" i="47"/>
  <c r="D91" i="19"/>
  <c r="D92" i="19"/>
  <c r="D93" i="19"/>
  <c r="D94" i="19"/>
  <c r="B95" i="19"/>
  <c r="C95" i="19"/>
  <c r="D95" i="19"/>
  <c r="D90" i="19"/>
  <c r="B68" i="41"/>
  <c r="B69" i="41"/>
  <c r="G71" i="41"/>
  <c r="B76" i="41"/>
  <c r="J53" i="34"/>
  <c r="J44" i="35"/>
  <c r="B67" i="33"/>
  <c r="C67" i="33"/>
  <c r="D67" i="33"/>
  <c r="E67" i="33"/>
  <c r="F67" i="33"/>
  <c r="B68" i="33"/>
  <c r="C68" i="33"/>
  <c r="D68" i="33"/>
  <c r="E68" i="33"/>
  <c r="F68" i="33"/>
  <c r="B68" i="30"/>
  <c r="C68" i="30"/>
  <c r="D68" i="30"/>
  <c r="E68" i="30"/>
  <c r="F68" i="30"/>
  <c r="G68" i="30"/>
  <c r="G72" i="30"/>
  <c r="G110" i="30" s="1"/>
  <c r="B67" i="27"/>
  <c r="C67" i="27"/>
  <c r="D67" i="27"/>
  <c r="D70" i="27" s="1"/>
  <c r="E67" i="27"/>
  <c r="F67" i="27"/>
  <c r="G67" i="27"/>
  <c r="G70" i="27" s="1"/>
  <c r="G108" i="27" s="1"/>
  <c r="H67" i="27"/>
  <c r="G68" i="27" s="1"/>
  <c r="B59" i="35"/>
  <c r="H59" i="35" s="1"/>
  <c r="C59" i="35"/>
  <c r="D59" i="35"/>
  <c r="E59" i="35"/>
  <c r="F59" i="35"/>
  <c r="E97" i="41"/>
  <c r="E98" i="41"/>
  <c r="E99" i="41"/>
  <c r="B100" i="41"/>
  <c r="E106" i="41"/>
  <c r="B105" i="41"/>
  <c r="E16" i="41"/>
  <c r="D22" i="41"/>
  <c r="D23" i="41"/>
  <c r="D24" i="41"/>
  <c r="D25" i="41"/>
  <c r="D26" i="41"/>
  <c r="D27" i="41"/>
  <c r="D28" i="41"/>
  <c r="D29" i="41"/>
  <c r="D30" i="41"/>
  <c r="D31" i="41"/>
  <c r="D32" i="41"/>
  <c r="D33" i="41"/>
  <c r="D34" i="41"/>
  <c r="B2" i="41"/>
  <c r="B72" i="41"/>
  <c r="G75" i="41" s="1"/>
  <c r="E73" i="41"/>
  <c r="B73" i="41"/>
  <c r="B74" i="41"/>
  <c r="B75" i="41"/>
  <c r="E60" i="41"/>
  <c r="E94" i="41" s="1"/>
  <c r="B35" i="41"/>
  <c r="M34" i="41"/>
  <c r="E93" i="41"/>
  <c r="B93" i="41"/>
  <c r="G60" i="35"/>
  <c r="H60" i="35" s="1"/>
  <c r="B61" i="35"/>
  <c r="C61" i="35"/>
  <c r="D61" i="35"/>
  <c r="H61" i="35" s="1"/>
  <c r="E61" i="35"/>
  <c r="F61" i="35"/>
  <c r="B62" i="35"/>
  <c r="H62" i="35" s="1"/>
  <c r="C62" i="35"/>
  <c r="D62" i="35"/>
  <c r="E62" i="35"/>
  <c r="F62" i="35"/>
  <c r="G62" i="35"/>
  <c r="B63" i="35"/>
  <c r="G63" i="35" s="1"/>
  <c r="C63" i="35"/>
  <c r="D63" i="35"/>
  <c r="H64" i="35"/>
  <c r="E69" i="41"/>
  <c r="E63" i="41"/>
  <c r="E66" i="41"/>
  <c r="B94" i="41"/>
  <c r="C12" i="35"/>
  <c r="D12" i="35"/>
  <c r="C13" i="35"/>
  <c r="C14" i="35"/>
  <c r="D14" i="35"/>
  <c r="C15" i="35"/>
  <c r="D15" i="35"/>
  <c r="B12" i="35"/>
  <c r="B13" i="35"/>
  <c r="B14" i="35"/>
  <c r="B15" i="35"/>
  <c r="D13" i="35"/>
  <c r="D11" i="35"/>
  <c r="D39" i="35"/>
  <c r="C11" i="35"/>
  <c r="C39" i="35"/>
  <c r="B11" i="35"/>
  <c r="B39" i="35"/>
  <c r="D54" i="39"/>
  <c r="B54" i="39" s="1"/>
  <c r="D102" i="39"/>
  <c r="B97" i="39"/>
  <c r="B92" i="39"/>
  <c r="E91" i="39"/>
  <c r="B89" i="39"/>
  <c r="E87" i="39"/>
  <c r="B87" i="39"/>
  <c r="B70" i="39"/>
  <c r="E68" i="39"/>
  <c r="B68" i="39" s="1"/>
  <c r="B63" i="39"/>
  <c r="B64" i="39"/>
  <c r="B65" i="39"/>
  <c r="B66" i="39"/>
  <c r="B67" i="39"/>
  <c r="B62" i="39"/>
  <c r="T24" i="29"/>
  <c r="U24" i="29" s="1"/>
  <c r="E58" i="39" s="1"/>
  <c r="B58" i="39"/>
  <c r="B59" i="39"/>
  <c r="E60" i="39"/>
  <c r="B60" i="39"/>
  <c r="E61" i="39"/>
  <c r="B61" i="39" s="1"/>
  <c r="E57" i="39"/>
  <c r="A57" i="39"/>
  <c r="E54" i="39"/>
  <c r="K33" i="39"/>
  <c r="B27" i="39"/>
  <c r="E18" i="39"/>
  <c r="E11" i="39"/>
  <c r="E4" i="39"/>
  <c r="B2" i="39"/>
  <c r="I1" i="39"/>
  <c r="E341" i="32"/>
  <c r="B337" i="32"/>
  <c r="D335" i="32"/>
  <c r="D332" i="32"/>
  <c r="B326" i="32"/>
  <c r="B316" i="32"/>
  <c r="L303" i="32"/>
  <c r="L307" i="32" s="1"/>
  <c r="L311" i="32" s="1"/>
  <c r="E306" i="32"/>
  <c r="B288" i="32"/>
  <c r="E266" i="32"/>
  <c r="B259" i="32"/>
  <c r="D256" i="32"/>
  <c r="D255" i="32"/>
  <c r="D254" i="32"/>
  <c r="D253" i="32"/>
  <c r="L228" i="32"/>
  <c r="L229" i="32"/>
  <c r="B209" i="32"/>
  <c r="E205" i="32"/>
  <c r="E204" i="32"/>
  <c r="E203" i="32"/>
  <c r="E202" i="32"/>
  <c r="C195" i="32"/>
  <c r="C194" i="32"/>
  <c r="C193" i="32"/>
  <c r="C192" i="32"/>
  <c r="C191" i="32"/>
  <c r="C190" i="32"/>
  <c r="C189" i="32"/>
  <c r="C188" i="32"/>
  <c r="E178" i="32"/>
  <c r="E177" i="32"/>
  <c r="E160" i="32"/>
  <c r="E159" i="32"/>
  <c r="L155" i="32"/>
  <c r="L172" i="32"/>
  <c r="E149" i="32"/>
  <c r="E148" i="32"/>
  <c r="E147" i="32"/>
  <c r="E146" i="32"/>
  <c r="C139" i="32"/>
  <c r="C138" i="32"/>
  <c r="C137" i="32"/>
  <c r="C136" i="32"/>
  <c r="C135" i="32"/>
  <c r="C134" i="32"/>
  <c r="C133" i="32"/>
  <c r="C132" i="32"/>
  <c r="E101" i="32"/>
  <c r="E100" i="32"/>
  <c r="E99" i="32"/>
  <c r="E98" i="32"/>
  <c r="E96" i="32"/>
  <c r="E144" i="32"/>
  <c r="E200" i="32"/>
  <c r="E95" i="32"/>
  <c r="E143" i="32" s="1"/>
  <c r="E199" i="32" s="1"/>
  <c r="E94" i="32"/>
  <c r="E142" i="32"/>
  <c r="E198" i="32" s="1"/>
  <c r="E93" i="32"/>
  <c r="E141" i="32"/>
  <c r="E197" i="32"/>
  <c r="E92" i="32"/>
  <c r="E140" i="32"/>
  <c r="E91" i="32"/>
  <c r="E139" i="32"/>
  <c r="E195" i="32" s="1"/>
  <c r="C91" i="32"/>
  <c r="E90" i="32"/>
  <c r="E138" i="32"/>
  <c r="E194" i="32" s="1"/>
  <c r="C90" i="32"/>
  <c r="E89" i="32"/>
  <c r="E137" i="32"/>
  <c r="E193" i="32" s="1"/>
  <c r="C89" i="32"/>
  <c r="E88" i="32"/>
  <c r="E136" i="32"/>
  <c r="E192" i="32" s="1"/>
  <c r="C88" i="32"/>
  <c r="E87" i="32"/>
  <c r="E135" i="32"/>
  <c r="E191" i="32" s="1"/>
  <c r="C87" i="32"/>
  <c r="E86" i="32"/>
  <c r="E134" i="32"/>
  <c r="E190" i="32" s="1"/>
  <c r="C86" i="32"/>
  <c r="E85" i="32"/>
  <c r="E133" i="32"/>
  <c r="E189" i="32" s="1"/>
  <c r="C85" i="32"/>
  <c r="E84" i="32"/>
  <c r="E132" i="32"/>
  <c r="C84" i="32"/>
  <c r="E83" i="32"/>
  <c r="E131" i="32"/>
  <c r="E187" i="32"/>
  <c r="E82" i="32"/>
  <c r="E130" i="32"/>
  <c r="E81" i="32"/>
  <c r="F78" i="32"/>
  <c r="F126" i="32" s="1"/>
  <c r="E78" i="32"/>
  <c r="E126" i="32"/>
  <c r="C78" i="32"/>
  <c r="C126" i="32" s="1"/>
  <c r="F77" i="32"/>
  <c r="F125" i="32"/>
  <c r="F171" i="32"/>
  <c r="E77" i="32"/>
  <c r="E125" i="32"/>
  <c r="E171" i="32"/>
  <c r="C77" i="32"/>
  <c r="C125" i="32" s="1"/>
  <c r="C171" i="32" s="1"/>
  <c r="F76" i="32"/>
  <c r="F124" i="32"/>
  <c r="E76" i="32"/>
  <c r="E124" i="32"/>
  <c r="C76" i="32"/>
  <c r="C124" i="32"/>
  <c r="F75" i="32"/>
  <c r="F123" i="32"/>
  <c r="E75" i="32"/>
  <c r="E123" i="32"/>
  <c r="C75" i="32"/>
  <c r="C123" i="32"/>
  <c r="F74" i="32"/>
  <c r="F122" i="32"/>
  <c r="E74" i="32"/>
  <c r="E122" i="32"/>
  <c r="C74" i="32"/>
  <c r="C122" i="32"/>
  <c r="F73" i="32"/>
  <c r="F121" i="32"/>
  <c r="E73" i="32"/>
  <c r="E121" i="32"/>
  <c r="C73" i="32"/>
  <c r="C121" i="32"/>
  <c r="F72" i="32"/>
  <c r="F120" i="32"/>
  <c r="E72" i="32"/>
  <c r="E120" i="32"/>
  <c r="C72" i="32"/>
  <c r="C120" i="32"/>
  <c r="F71" i="32"/>
  <c r="F119" i="32"/>
  <c r="E71" i="32"/>
  <c r="E119" i="32"/>
  <c r="C71" i="32"/>
  <c r="C119" i="32"/>
  <c r="F70" i="32"/>
  <c r="F118" i="32"/>
  <c r="E70" i="32"/>
  <c r="E118" i="32" s="1"/>
  <c r="C70" i="32"/>
  <c r="C118" i="32"/>
  <c r="F69" i="32"/>
  <c r="F117" i="32" s="1"/>
  <c r="E69" i="32"/>
  <c r="E117" i="32"/>
  <c r="C69" i="32"/>
  <c r="C117" i="32" s="1"/>
  <c r="F68" i="32"/>
  <c r="F116" i="32"/>
  <c r="E68" i="32"/>
  <c r="C68" i="32"/>
  <c r="C116" i="32"/>
  <c r="F67" i="32"/>
  <c r="F115" i="32" s="1"/>
  <c r="E67" i="32"/>
  <c r="C67" i="32"/>
  <c r="C115" i="32"/>
  <c r="F66" i="32"/>
  <c r="F114" i="32" s="1"/>
  <c r="E66" i="32"/>
  <c r="C66" i="32"/>
  <c r="C114" i="32" s="1"/>
  <c r="F65" i="32"/>
  <c r="F113" i="32"/>
  <c r="E65" i="32"/>
  <c r="C65" i="32"/>
  <c r="C113" i="32" s="1"/>
  <c r="F64" i="32"/>
  <c r="F112" i="32"/>
  <c r="E64" i="32"/>
  <c r="E112" i="32" s="1"/>
  <c r="C64" i="32"/>
  <c r="C112" i="32"/>
  <c r="F63" i="32"/>
  <c r="F111" i="32" s="1"/>
  <c r="E63" i="32"/>
  <c r="C63" i="32"/>
  <c r="C111" i="32" s="1"/>
  <c r="F62" i="32"/>
  <c r="F110" i="32"/>
  <c r="E62" i="32"/>
  <c r="E110" i="32" s="1"/>
  <c r="C62" i="32"/>
  <c r="C110" i="32"/>
  <c r="F61" i="32"/>
  <c r="F109" i="32" s="1"/>
  <c r="E61" i="32"/>
  <c r="C61" i="32"/>
  <c r="C109" i="32"/>
  <c r="F60" i="32"/>
  <c r="F108" i="32"/>
  <c r="E60" i="32"/>
  <c r="E108" i="32"/>
  <c r="C60" i="32"/>
  <c r="C108" i="32"/>
  <c r="F59" i="32"/>
  <c r="F107" i="32"/>
  <c r="E59" i="32"/>
  <c r="E107" i="32"/>
  <c r="C59" i="32"/>
  <c r="C107" i="32"/>
  <c r="F58" i="32"/>
  <c r="F106" i="32"/>
  <c r="E58" i="32"/>
  <c r="C58" i="32"/>
  <c r="C106" i="32" s="1"/>
  <c r="F57" i="32"/>
  <c r="F105" i="32"/>
  <c r="E57" i="32"/>
  <c r="C57" i="32"/>
  <c r="C105" i="32"/>
  <c r="N54" i="32"/>
  <c r="I55" i="32" s="1"/>
  <c r="J55" i="32"/>
  <c r="J33" i="32" s="1"/>
  <c r="J52" i="32"/>
  <c r="J53" i="32" s="1"/>
  <c r="J32" i="32" s="1"/>
  <c r="N52" i="32"/>
  <c r="N50" i="32"/>
  <c r="I33" i="32"/>
  <c r="N34" i="32"/>
  <c r="H35" i="32"/>
  <c r="N35" i="32" s="1"/>
  <c r="K36" i="32"/>
  <c r="N36" i="32"/>
  <c r="L37" i="32"/>
  <c r="H38" i="32"/>
  <c r="N38" i="32"/>
  <c r="H39" i="32"/>
  <c r="N39" i="32" s="1"/>
  <c r="H40" i="32"/>
  <c r="N40" i="32"/>
  <c r="H41" i="32"/>
  <c r="N41" i="32" s="1"/>
  <c r="L42" i="32"/>
  <c r="N42" i="32"/>
  <c r="K43" i="32"/>
  <c r="I44" i="32"/>
  <c r="N44" i="32"/>
  <c r="H45" i="32"/>
  <c r="N45" i="32" s="1"/>
  <c r="I46" i="32"/>
  <c r="N46" i="32"/>
  <c r="M47" i="32"/>
  <c r="B47" i="32"/>
  <c r="C24" i="32"/>
  <c r="C25" i="32"/>
  <c r="C26" i="32"/>
  <c r="C27" i="32"/>
  <c r="C28" i="32"/>
  <c r="C22" i="32"/>
  <c r="B141" i="31"/>
  <c r="B71" i="31"/>
  <c r="B55" i="31"/>
  <c r="B56" i="31"/>
  <c r="B57" i="31"/>
  <c r="B64" i="31"/>
  <c r="B68" i="31"/>
  <c r="G29" i="31"/>
  <c r="G45" i="31" s="1"/>
  <c r="B44" i="31"/>
  <c r="C44" i="31"/>
  <c r="D44" i="31"/>
  <c r="E44" i="31"/>
  <c r="G44" i="31"/>
  <c r="K21" i="31"/>
  <c r="H21" i="31"/>
  <c r="H18" i="31"/>
  <c r="B17" i="31"/>
  <c r="B13" i="31"/>
  <c r="B18" i="31"/>
  <c r="K17" i="31"/>
  <c r="H17" i="31"/>
  <c r="K16" i="31"/>
  <c r="H16" i="31"/>
  <c r="K15" i="31"/>
  <c r="H15" i="31"/>
  <c r="K14" i="31"/>
  <c r="H14" i="31"/>
  <c r="H13" i="31"/>
  <c r="E7" i="31"/>
  <c r="E8" i="31"/>
  <c r="E13" i="31" s="1"/>
  <c r="E9" i="31"/>
  <c r="E11" i="31"/>
  <c r="K12" i="31"/>
  <c r="H12" i="31"/>
  <c r="K11" i="31"/>
  <c r="H11" i="31"/>
  <c r="K10" i="31"/>
  <c r="H10" i="31"/>
  <c r="K9" i="31"/>
  <c r="H9" i="31"/>
  <c r="K8" i="31"/>
  <c r="H8" i="31"/>
  <c r="K7" i="31"/>
  <c r="H7" i="31"/>
  <c r="K5" i="31"/>
  <c r="U39" i="29"/>
  <c r="U40" i="29" s="1"/>
  <c r="T39" i="29"/>
  <c r="T40" i="29"/>
  <c r="S24" i="29"/>
  <c r="S39" i="29" s="1"/>
  <c r="S40" i="29" s="1"/>
  <c r="R39" i="29"/>
  <c r="R40" i="29"/>
  <c r="Q39" i="29"/>
  <c r="Q40" i="29"/>
  <c r="P39" i="29"/>
  <c r="P40" i="29" s="1"/>
  <c r="E27" i="29" s="1"/>
  <c r="E39" i="29"/>
  <c r="C39" i="29"/>
  <c r="O34" i="29"/>
  <c r="O28" i="29" s="1"/>
  <c r="O33" i="29"/>
  <c r="O32" i="29"/>
  <c r="O31" i="29"/>
  <c r="O30" i="29"/>
  <c r="O27" i="29"/>
  <c r="C27" i="29"/>
  <c r="O26" i="29"/>
  <c r="O24" i="29"/>
  <c r="M18" i="29"/>
  <c r="K18" i="29"/>
  <c r="I8" i="29"/>
  <c r="I18" i="29" s="1"/>
  <c r="G18" i="29"/>
  <c r="C18" i="29"/>
  <c r="E15" i="29"/>
  <c r="E14" i="29"/>
  <c r="E13" i="29"/>
  <c r="E12" i="29"/>
  <c r="E11" i="29"/>
  <c r="E9" i="29"/>
  <c r="E8" i="29"/>
  <c r="E7" i="29"/>
  <c r="E6" i="29"/>
  <c r="E4" i="29"/>
  <c r="E3" i="29"/>
  <c r="D67" i="19"/>
  <c r="C65" i="19"/>
  <c r="D65" i="19" s="1"/>
  <c r="B65" i="19"/>
  <c r="D69" i="19"/>
  <c r="D71" i="19" s="1"/>
  <c r="D73" i="19" s="1"/>
  <c r="D77" i="19"/>
  <c r="H43" i="19"/>
  <c r="G41" i="19"/>
  <c r="F41" i="19"/>
  <c r="H41" i="19"/>
  <c r="D43" i="19"/>
  <c r="C41" i="19"/>
  <c r="B41" i="19"/>
  <c r="D41" i="19" s="1"/>
  <c r="C20" i="19"/>
  <c r="C22" i="19"/>
  <c r="C23" i="19"/>
  <c r="C28" i="19" s="1"/>
  <c r="C15" i="19"/>
  <c r="D15" i="19"/>
  <c r="D16" i="19"/>
  <c r="C27" i="19" s="1"/>
  <c r="E15" i="19"/>
  <c r="H15" i="19"/>
  <c r="H16" i="19"/>
  <c r="E20" i="19"/>
  <c r="E23" i="19" s="1"/>
  <c r="E22" i="19"/>
  <c r="E25" i="19"/>
  <c r="C25" i="19"/>
  <c r="J15" i="19"/>
  <c r="I15" i="19"/>
  <c r="C115" i="11"/>
  <c r="F40" i="11" s="1"/>
  <c r="C114" i="11"/>
  <c r="G103" i="11"/>
  <c r="D103" i="11"/>
  <c r="C103" i="11"/>
  <c r="B103" i="11"/>
  <c r="G51" i="11"/>
  <c r="G102" i="11"/>
  <c r="F102" i="11"/>
  <c r="E102" i="11"/>
  <c r="G101" i="11"/>
  <c r="E101" i="11"/>
  <c r="D101" i="11"/>
  <c r="C101" i="11"/>
  <c r="B101" i="11"/>
  <c r="F100" i="11"/>
  <c r="E100" i="11"/>
  <c r="D100" i="11"/>
  <c r="C100" i="11"/>
  <c r="B100" i="11"/>
  <c r="G99" i="11"/>
  <c r="F99" i="11"/>
  <c r="E99" i="11"/>
  <c r="B78" i="11"/>
  <c r="B74" i="11"/>
  <c r="B73" i="11"/>
  <c r="E65" i="11"/>
  <c r="H65" i="11"/>
  <c r="G64" i="11"/>
  <c r="F64" i="11"/>
  <c r="F66" i="11"/>
  <c r="F104" i="11"/>
  <c r="E64" i="11"/>
  <c r="E66" i="11" s="1"/>
  <c r="E104" i="11" s="1"/>
  <c r="D64" i="11"/>
  <c r="D66" i="11" s="1"/>
  <c r="D104" i="11" s="1"/>
  <c r="C64" i="11"/>
  <c r="C66" i="11" s="1"/>
  <c r="C104" i="11" s="1"/>
  <c r="B64" i="11"/>
  <c r="B66" i="11"/>
  <c r="B104" i="11"/>
  <c r="G63" i="11"/>
  <c r="J54" i="11"/>
  <c r="H52" i="11"/>
  <c r="D46" i="11"/>
  <c r="C46" i="11"/>
  <c r="B46" i="11"/>
  <c r="G34" i="11"/>
  <c r="H13" i="11"/>
  <c r="H12" i="11"/>
  <c r="G9" i="11"/>
  <c r="G98" i="11"/>
  <c r="F9" i="11"/>
  <c r="F98" i="11" s="1"/>
  <c r="E9" i="11"/>
  <c r="D9" i="11"/>
  <c r="D90" i="11"/>
  <c r="C9" i="11"/>
  <c r="C90" i="11"/>
  <c r="B9" i="11"/>
  <c r="B98" i="11"/>
  <c r="C114" i="17"/>
  <c r="G110" i="17"/>
  <c r="F110" i="17"/>
  <c r="E110" i="17"/>
  <c r="D110" i="17"/>
  <c r="C110" i="17"/>
  <c r="B110" i="17"/>
  <c r="G103" i="17"/>
  <c r="D103" i="17"/>
  <c r="C103" i="17"/>
  <c r="B103" i="17"/>
  <c r="B47" i="17"/>
  <c r="B14" i="17"/>
  <c r="C47" i="17"/>
  <c r="C14" i="17"/>
  <c r="C48" i="17"/>
  <c r="C51" i="17" s="1"/>
  <c r="C102" i="17" s="1"/>
  <c r="D47" i="17"/>
  <c r="D14" i="17"/>
  <c r="D48" i="17" s="1"/>
  <c r="D51" i="17" s="1"/>
  <c r="D102" i="17" s="1"/>
  <c r="E102" i="17"/>
  <c r="F102" i="17"/>
  <c r="G47" i="17"/>
  <c r="G48" i="17" s="1"/>
  <c r="G51" i="17" s="1"/>
  <c r="G102" i="17" s="1"/>
  <c r="G101" i="17"/>
  <c r="E101" i="17"/>
  <c r="D101" i="17"/>
  <c r="C101" i="17"/>
  <c r="B101" i="17"/>
  <c r="F100" i="17"/>
  <c r="E100" i="17"/>
  <c r="D100" i="17"/>
  <c r="C100" i="17"/>
  <c r="B100" i="17"/>
  <c r="G99" i="17"/>
  <c r="F99" i="17"/>
  <c r="E99" i="17"/>
  <c r="H46" i="17"/>
  <c r="E73" i="17" s="1"/>
  <c r="E74" i="17"/>
  <c r="F65" i="17"/>
  <c r="H65" i="17" s="1"/>
  <c r="G63" i="17"/>
  <c r="F63" i="17"/>
  <c r="F64" i="17"/>
  <c r="E63" i="17"/>
  <c r="D63" i="17"/>
  <c r="C63" i="17"/>
  <c r="C64" i="17"/>
  <c r="B63" i="17"/>
  <c r="J55" i="17"/>
  <c r="J54" i="17"/>
  <c r="H52" i="17"/>
  <c r="H14" i="17"/>
  <c r="H13" i="17"/>
  <c r="H12" i="17"/>
  <c r="H11" i="17"/>
  <c r="C114" i="18"/>
  <c r="H112" i="18"/>
  <c r="G112" i="18"/>
  <c r="G105" i="18"/>
  <c r="G103" i="18"/>
  <c r="D103" i="18"/>
  <c r="C103" i="18"/>
  <c r="B103" i="18"/>
  <c r="G47" i="18"/>
  <c r="G48" i="18"/>
  <c r="G51" i="18"/>
  <c r="G102" i="18" s="1"/>
  <c r="F102" i="18"/>
  <c r="E102" i="18"/>
  <c r="G101" i="18"/>
  <c r="E101" i="18"/>
  <c r="D101" i="18"/>
  <c r="C101" i="18"/>
  <c r="B101" i="18"/>
  <c r="F100" i="18"/>
  <c r="E100" i="18"/>
  <c r="D100" i="18"/>
  <c r="C100" i="18"/>
  <c r="B100" i="18"/>
  <c r="G99" i="18"/>
  <c r="F99" i="18"/>
  <c r="E99" i="18"/>
  <c r="H46" i="18"/>
  <c r="E73" i="18" s="1"/>
  <c r="B73" i="18"/>
  <c r="F65" i="18"/>
  <c r="E65" i="18"/>
  <c r="D65" i="18"/>
  <c r="B65" i="18"/>
  <c r="H64" i="18"/>
  <c r="F63" i="18"/>
  <c r="E63" i="18"/>
  <c r="D63" i="18"/>
  <c r="C63" i="18"/>
  <c r="B63" i="18"/>
  <c r="B66" i="18"/>
  <c r="B104" i="18"/>
  <c r="J56" i="18"/>
  <c r="J55" i="18"/>
  <c r="J54" i="18"/>
  <c r="H52" i="18"/>
  <c r="F40" i="18"/>
  <c r="F101" i="18" s="1"/>
  <c r="B13" i="18"/>
  <c r="C13" i="18"/>
  <c r="D13" i="18"/>
  <c r="H11" i="18"/>
  <c r="C115" i="24"/>
  <c r="G104" i="24"/>
  <c r="D104" i="24"/>
  <c r="C104" i="24"/>
  <c r="B104" i="24"/>
  <c r="G47" i="24"/>
  <c r="G48" i="24" s="1"/>
  <c r="G51" i="24" s="1"/>
  <c r="G103" i="24"/>
  <c r="F103" i="24"/>
  <c r="E103" i="24"/>
  <c r="G102" i="24"/>
  <c r="E102" i="24"/>
  <c r="D102" i="24"/>
  <c r="C102" i="24"/>
  <c r="B102" i="24"/>
  <c r="F101" i="24"/>
  <c r="E101" i="24"/>
  <c r="D101" i="24"/>
  <c r="C101" i="24"/>
  <c r="B101" i="24"/>
  <c r="G100" i="24"/>
  <c r="F100" i="24"/>
  <c r="E100" i="24"/>
  <c r="E74" i="24"/>
  <c r="E75" i="24" s="1"/>
  <c r="E73" i="24"/>
  <c r="F66" i="24"/>
  <c r="E66" i="24"/>
  <c r="D66" i="24"/>
  <c r="C66" i="24"/>
  <c r="B66" i="24"/>
  <c r="F65" i="24"/>
  <c r="H65" i="24"/>
  <c r="F64" i="24"/>
  <c r="E64" i="24"/>
  <c r="D64" i="24"/>
  <c r="C64" i="24"/>
  <c r="B64" i="24"/>
  <c r="F63" i="24"/>
  <c r="E63" i="24"/>
  <c r="D63" i="24"/>
  <c r="D67" i="24" s="1"/>
  <c r="D105" i="24" s="1"/>
  <c r="C63" i="24"/>
  <c r="B63" i="24"/>
  <c r="J56" i="24"/>
  <c r="J57" i="24" s="1"/>
  <c r="J55" i="24"/>
  <c r="J54" i="24"/>
  <c r="H52" i="24"/>
  <c r="B46" i="24"/>
  <c r="B11" i="24"/>
  <c r="B12" i="24"/>
  <c r="C46" i="24"/>
  <c r="C11" i="24"/>
  <c r="C12" i="24"/>
  <c r="H12" i="24" s="1"/>
  <c r="D46" i="24"/>
  <c r="D11" i="24"/>
  <c r="D12" i="24"/>
  <c r="H46" i="24"/>
  <c r="C115" i="25"/>
  <c r="G111" i="25"/>
  <c r="G9" i="27" s="1"/>
  <c r="G102" i="27" s="1"/>
  <c r="F111" i="25"/>
  <c r="F9" i="27" s="1"/>
  <c r="E111" i="25"/>
  <c r="E9" i="27"/>
  <c r="E94" i="27"/>
  <c r="D111" i="25"/>
  <c r="D9" i="27" s="1"/>
  <c r="D20" i="27" s="1"/>
  <c r="C111" i="25"/>
  <c r="C9" i="27" s="1"/>
  <c r="B111" i="25"/>
  <c r="G104" i="25"/>
  <c r="D104" i="25"/>
  <c r="C104" i="25"/>
  <c r="B104" i="25"/>
  <c r="G47" i="25"/>
  <c r="G48" i="25" s="1"/>
  <c r="G51" i="25"/>
  <c r="G103" i="25" s="1"/>
  <c r="F103" i="25"/>
  <c r="E103" i="25"/>
  <c r="G102" i="25"/>
  <c r="E102" i="25"/>
  <c r="D102" i="25"/>
  <c r="C102" i="25"/>
  <c r="B102" i="25"/>
  <c r="F101" i="25"/>
  <c r="E101" i="25"/>
  <c r="D101" i="25"/>
  <c r="C101" i="25"/>
  <c r="B101" i="25"/>
  <c r="G100" i="25"/>
  <c r="F100" i="25"/>
  <c r="E100" i="25"/>
  <c r="B75" i="25"/>
  <c r="E73" i="25"/>
  <c r="F66" i="25"/>
  <c r="E66" i="25"/>
  <c r="D66" i="25"/>
  <c r="C66" i="25"/>
  <c r="B66" i="25"/>
  <c r="F65" i="25"/>
  <c r="H65" i="25" s="1"/>
  <c r="F63" i="25"/>
  <c r="F67" i="25"/>
  <c r="F105" i="25"/>
  <c r="E63" i="25"/>
  <c r="E67" i="25" s="1"/>
  <c r="E105" i="25" s="1"/>
  <c r="D63" i="25"/>
  <c r="C63" i="25"/>
  <c r="B63" i="25"/>
  <c r="B67" i="25"/>
  <c r="B105" i="25"/>
  <c r="H52" i="25"/>
  <c r="B12" i="25"/>
  <c r="C12" i="25"/>
  <c r="D12" i="25"/>
  <c r="H12" i="25"/>
  <c r="B11" i="25"/>
  <c r="C11" i="25"/>
  <c r="D11" i="25"/>
  <c r="H11" i="25"/>
  <c r="C118" i="27"/>
  <c r="D107" i="27"/>
  <c r="C107" i="27"/>
  <c r="B107" i="27"/>
  <c r="G48" i="27"/>
  <c r="G49" i="27" s="1"/>
  <c r="G52" i="27" s="1"/>
  <c r="G106" i="27" s="1"/>
  <c r="F106" i="27"/>
  <c r="E106" i="27"/>
  <c r="G105" i="27"/>
  <c r="E105" i="27"/>
  <c r="D105" i="27"/>
  <c r="C105" i="27"/>
  <c r="B105" i="27"/>
  <c r="F104" i="27"/>
  <c r="E104" i="27"/>
  <c r="D104" i="27"/>
  <c r="C104" i="27"/>
  <c r="B104" i="27"/>
  <c r="G103" i="27"/>
  <c r="F103" i="27"/>
  <c r="E103" i="27"/>
  <c r="F69" i="27"/>
  <c r="H69" i="27" s="1"/>
  <c r="F70" i="27"/>
  <c r="F108" i="27"/>
  <c r="E70" i="27"/>
  <c r="E108" i="27" s="1"/>
  <c r="D108" i="27"/>
  <c r="C70" i="27"/>
  <c r="C108" i="27" s="1"/>
  <c r="D61" i="27"/>
  <c r="C61" i="27"/>
  <c r="B61" i="27"/>
  <c r="G60" i="27"/>
  <c r="G61" i="27" s="1"/>
  <c r="G107" i="27"/>
  <c r="E60" i="27"/>
  <c r="D53" i="27"/>
  <c r="C53" i="27"/>
  <c r="B53" i="27"/>
  <c r="H53" i="27" s="1"/>
  <c r="B13" i="27"/>
  <c r="C13" i="27"/>
  <c r="D13" i="27"/>
  <c r="H13" i="27" s="1"/>
  <c r="B12" i="27"/>
  <c r="C12" i="27"/>
  <c r="D12" i="27"/>
  <c r="H12" i="27" s="1"/>
  <c r="C102" i="27"/>
  <c r="B9" i="27"/>
  <c r="B10" i="27" s="1"/>
  <c r="H131" i="30"/>
  <c r="H132" i="30"/>
  <c r="H133" i="30"/>
  <c r="G133" i="30"/>
  <c r="F133" i="30"/>
  <c r="E133" i="30"/>
  <c r="D133" i="30"/>
  <c r="C133" i="30"/>
  <c r="B133" i="30"/>
  <c r="F129" i="30"/>
  <c r="E129" i="30"/>
  <c r="D129" i="30"/>
  <c r="C129" i="30"/>
  <c r="B129" i="30"/>
  <c r="C122" i="30"/>
  <c r="G119" i="30"/>
  <c r="F119" i="30"/>
  <c r="E119" i="30"/>
  <c r="D119" i="30"/>
  <c r="C119" i="30"/>
  <c r="B119" i="30"/>
  <c r="D62" i="30"/>
  <c r="D109" i="30"/>
  <c r="C62" i="30"/>
  <c r="C109" i="30" s="1"/>
  <c r="B62" i="30"/>
  <c r="B109" i="30"/>
  <c r="G108" i="30"/>
  <c r="F108" i="30"/>
  <c r="E108" i="30"/>
  <c r="B107" i="30"/>
  <c r="H107" i="30" s="1"/>
  <c r="C107" i="30"/>
  <c r="D107" i="30"/>
  <c r="E107" i="30"/>
  <c r="F42" i="30"/>
  <c r="F107" i="30" s="1"/>
  <c r="G107" i="30"/>
  <c r="F106" i="30"/>
  <c r="E106" i="30"/>
  <c r="D106" i="30"/>
  <c r="C106" i="30"/>
  <c r="B106" i="30"/>
  <c r="G105" i="30"/>
  <c r="F105" i="30"/>
  <c r="E105" i="30"/>
  <c r="B71" i="30"/>
  <c r="H71" i="30" s="1"/>
  <c r="C71" i="30"/>
  <c r="D71" i="30"/>
  <c r="F71" i="30"/>
  <c r="G71" i="30"/>
  <c r="E70" i="30"/>
  <c r="D70" i="30"/>
  <c r="C70" i="30"/>
  <c r="B70" i="30"/>
  <c r="F69" i="30"/>
  <c r="E69" i="30"/>
  <c r="D69" i="30"/>
  <c r="C69" i="30"/>
  <c r="B69" i="30"/>
  <c r="F72" i="30"/>
  <c r="F110" i="30"/>
  <c r="E72" i="30"/>
  <c r="E110" i="30" s="1"/>
  <c r="G61" i="30"/>
  <c r="G62" i="30" s="1"/>
  <c r="E61" i="30"/>
  <c r="D54" i="30"/>
  <c r="C54" i="30"/>
  <c r="B54" i="30"/>
  <c r="J53" i="30"/>
  <c r="G49" i="30"/>
  <c r="G50" i="30"/>
  <c r="G53" i="30" s="1"/>
  <c r="D48" i="30"/>
  <c r="C48" i="30"/>
  <c r="B48" i="30"/>
  <c r="A15" i="30"/>
  <c r="C14" i="30"/>
  <c r="B14" i="30"/>
  <c r="A14" i="30"/>
  <c r="B13" i="30"/>
  <c r="C13" i="30"/>
  <c r="D13" i="30"/>
  <c r="D14" i="33" s="1"/>
  <c r="H13" i="30"/>
  <c r="G9" i="30"/>
  <c r="G104" i="30" s="1"/>
  <c r="F9" i="30"/>
  <c r="E9" i="30"/>
  <c r="E104" i="30" s="1"/>
  <c r="D9" i="30"/>
  <c r="D104" i="30"/>
  <c r="C9" i="30"/>
  <c r="C96" i="30" s="1"/>
  <c r="C97" i="30" s="1"/>
  <c r="B9" i="30"/>
  <c r="C121" i="33"/>
  <c r="D107" i="33"/>
  <c r="C107" i="33"/>
  <c r="B107" i="33"/>
  <c r="G48" i="33"/>
  <c r="G49" i="33"/>
  <c r="G52" i="33" s="1"/>
  <c r="G106" i="33" s="1"/>
  <c r="F106" i="33"/>
  <c r="E106" i="33"/>
  <c r="B105" i="33"/>
  <c r="C105" i="33"/>
  <c r="D105" i="33"/>
  <c r="E105" i="33"/>
  <c r="F41" i="33"/>
  <c r="F105" i="33" s="1"/>
  <c r="H105" i="33" s="1"/>
  <c r="G105" i="33"/>
  <c r="F104" i="33"/>
  <c r="E104" i="33"/>
  <c r="D104" i="33"/>
  <c r="C104" i="33"/>
  <c r="B104" i="33"/>
  <c r="G103" i="33"/>
  <c r="F103" i="33"/>
  <c r="E103" i="33"/>
  <c r="H41" i="33"/>
  <c r="B86" i="33" s="1"/>
  <c r="F69" i="33"/>
  <c r="H69" i="33"/>
  <c r="E70" i="33"/>
  <c r="E108" i="33" s="1"/>
  <c r="D70" i="33"/>
  <c r="D108" i="33"/>
  <c r="D61" i="33"/>
  <c r="C61" i="33"/>
  <c r="B61" i="33"/>
  <c r="G60" i="33"/>
  <c r="G61" i="33" s="1"/>
  <c r="G107" i="33" s="1"/>
  <c r="E60" i="33"/>
  <c r="H60" i="33"/>
  <c r="D53" i="33"/>
  <c r="C53" i="33"/>
  <c r="B53" i="33"/>
  <c r="J52" i="33"/>
  <c r="C15" i="33"/>
  <c r="B15" i="33"/>
  <c r="A15" i="33"/>
  <c r="C14" i="33"/>
  <c r="B14" i="33"/>
  <c r="A14" i="33"/>
  <c r="C124" i="34"/>
  <c r="G120" i="34"/>
  <c r="F120" i="34"/>
  <c r="E120" i="34"/>
  <c r="D120" i="34"/>
  <c r="C120" i="34"/>
  <c r="B120" i="34"/>
  <c r="D110" i="34"/>
  <c r="C110" i="34"/>
  <c r="B110" i="34"/>
  <c r="G49" i="34"/>
  <c r="G50" i="34"/>
  <c r="G53" i="34" s="1"/>
  <c r="F109" i="34"/>
  <c r="E109" i="34"/>
  <c r="B108" i="34"/>
  <c r="C108" i="34"/>
  <c r="D108" i="34"/>
  <c r="E108" i="34"/>
  <c r="F42" i="34"/>
  <c r="F108" i="34" s="1"/>
  <c r="H108" i="34" s="1"/>
  <c r="G108" i="34"/>
  <c r="F107" i="34"/>
  <c r="E107" i="34"/>
  <c r="D107" i="34"/>
  <c r="C107" i="34"/>
  <c r="B107" i="34"/>
  <c r="G106" i="34"/>
  <c r="F106" i="34"/>
  <c r="E106" i="34"/>
  <c r="C106" i="34"/>
  <c r="B106" i="34"/>
  <c r="H42" i="34"/>
  <c r="B89" i="34"/>
  <c r="B81" i="34"/>
  <c r="B80" i="34"/>
  <c r="H72" i="34"/>
  <c r="E71" i="34"/>
  <c r="H71" i="34" s="1"/>
  <c r="B70" i="34"/>
  <c r="C70" i="34"/>
  <c r="D70" i="34"/>
  <c r="E70" i="34"/>
  <c r="F70" i="34"/>
  <c r="H70" i="34"/>
  <c r="F68" i="34"/>
  <c r="F73" i="34" s="1"/>
  <c r="F111" i="34" s="1"/>
  <c r="E68" i="34"/>
  <c r="E73" i="34"/>
  <c r="E111" i="34" s="1"/>
  <c r="D68" i="34"/>
  <c r="D73" i="34"/>
  <c r="D111" i="34"/>
  <c r="C68" i="34"/>
  <c r="C73" i="34" s="1"/>
  <c r="C111" i="34" s="1"/>
  <c r="B68" i="34"/>
  <c r="B73" i="34" s="1"/>
  <c r="B111" i="34" s="1"/>
  <c r="H111" i="34" s="1"/>
  <c r="D62" i="34"/>
  <c r="C62" i="34"/>
  <c r="B62" i="34"/>
  <c r="G61" i="34"/>
  <c r="G62" i="34" s="1"/>
  <c r="E61" i="34"/>
  <c r="H61" i="34"/>
  <c r="D54" i="34"/>
  <c r="D55" i="34" s="1"/>
  <c r="D109" i="34" s="1"/>
  <c r="C54" i="34"/>
  <c r="C55" i="34" s="1"/>
  <c r="C109" i="34" s="1"/>
  <c r="B54" i="34"/>
  <c r="B15" i="34"/>
  <c r="C15" i="34"/>
  <c r="D15" i="34"/>
  <c r="H15" i="34"/>
  <c r="A15" i="34"/>
  <c r="C115" i="35"/>
  <c r="D101" i="35"/>
  <c r="C101" i="35"/>
  <c r="B101" i="35"/>
  <c r="G40" i="35"/>
  <c r="G41" i="35"/>
  <c r="G44" i="35"/>
  <c r="G100" i="35" s="1"/>
  <c r="F100" i="35"/>
  <c r="E100" i="35"/>
  <c r="B99" i="35"/>
  <c r="C99" i="35"/>
  <c r="D99" i="35"/>
  <c r="E99" i="35"/>
  <c r="F33" i="35"/>
  <c r="F99" i="35" s="1"/>
  <c r="H99" i="35" s="1"/>
  <c r="G99" i="35"/>
  <c r="F98" i="35"/>
  <c r="E98" i="35"/>
  <c r="D98" i="35"/>
  <c r="C98" i="35"/>
  <c r="B98" i="35"/>
  <c r="B97" i="35"/>
  <c r="C97" i="35"/>
  <c r="D97" i="35"/>
  <c r="E97" i="35"/>
  <c r="H97" i="35" s="1"/>
  <c r="F97" i="35"/>
  <c r="G97" i="35"/>
  <c r="H33" i="35"/>
  <c r="B80" i="35" s="1"/>
  <c r="H21" i="35"/>
  <c r="B78" i="35"/>
  <c r="F64" i="35"/>
  <c r="F102" i="35" s="1"/>
  <c r="D64" i="35"/>
  <c r="D102" i="35"/>
  <c r="B64" i="35"/>
  <c r="B102" i="35" s="1"/>
  <c r="D53" i="35"/>
  <c r="C53" i="35"/>
  <c r="B53" i="35"/>
  <c r="E52" i="35"/>
  <c r="D45" i="35"/>
  <c r="D46" i="35"/>
  <c r="D100" i="35"/>
  <c r="C45" i="35"/>
  <c r="C46" i="35" s="1"/>
  <c r="C100" i="35" s="1"/>
  <c r="B45" i="35"/>
  <c r="B46" i="35" s="1"/>
  <c r="G9" i="35"/>
  <c r="G96" i="35"/>
  <c r="F9" i="35"/>
  <c r="F96" i="35" s="1"/>
  <c r="C116" i="35" s="1"/>
  <c r="E9" i="35"/>
  <c r="E96" i="35" s="1"/>
  <c r="D9" i="35"/>
  <c r="D96" i="35" s="1"/>
  <c r="C9" i="35"/>
  <c r="B9" i="35"/>
  <c r="C10" i="35" s="1"/>
  <c r="B96" i="35"/>
  <c r="H96" i="35" s="1"/>
  <c r="B98" i="32"/>
  <c r="F66" i="18"/>
  <c r="F104" i="18"/>
  <c r="E18" i="29"/>
  <c r="K13" i="31"/>
  <c r="K18" i="31" s="1"/>
  <c r="L18" i="31" s="1"/>
  <c r="B105" i="32"/>
  <c r="B253" i="32"/>
  <c r="B74" i="18"/>
  <c r="D11" i="11"/>
  <c r="D14" i="11"/>
  <c r="C47" i="33"/>
  <c r="C67" i="24"/>
  <c r="C105" i="24"/>
  <c r="F67" i="24"/>
  <c r="F105" i="24" s="1"/>
  <c r="B18" i="11"/>
  <c r="B90" i="11"/>
  <c r="H90" i="11" s="1"/>
  <c r="E91" i="11" s="1"/>
  <c r="B202" i="32"/>
  <c r="D67" i="25"/>
  <c r="D105" i="25" s="1"/>
  <c r="B146" i="32"/>
  <c r="H120" i="34"/>
  <c r="C70" i="33"/>
  <c r="C108" i="33" s="1"/>
  <c r="D72" i="30"/>
  <c r="D110" i="30"/>
  <c r="H70" i="30"/>
  <c r="G66" i="25"/>
  <c r="E67" i="24"/>
  <c r="E105" i="24"/>
  <c r="E66" i="18"/>
  <c r="E104" i="18" s="1"/>
  <c r="D88" i="35"/>
  <c r="D10" i="35"/>
  <c r="F70" i="33"/>
  <c r="F108" i="33" s="1"/>
  <c r="C72" i="30"/>
  <c r="C110" i="30"/>
  <c r="H66" i="25"/>
  <c r="B69" i="24"/>
  <c r="H110" i="17"/>
  <c r="H46" i="11"/>
  <c r="E73" i="11" s="1"/>
  <c r="E74" i="11" s="1"/>
  <c r="B81" i="32"/>
  <c r="C117" i="35"/>
  <c r="B10" i="35"/>
  <c r="H119" i="30"/>
  <c r="C64" i="35"/>
  <c r="C102" i="35" s="1"/>
  <c r="H54" i="34"/>
  <c r="J61" i="34"/>
  <c r="J62" i="34" s="1"/>
  <c r="H61" i="30"/>
  <c r="H9" i="27"/>
  <c r="H60" i="27"/>
  <c r="D64" i="17"/>
  <c r="D66" i="17"/>
  <c r="D104" i="17"/>
  <c r="B10" i="11"/>
  <c r="G66" i="11"/>
  <c r="G104" i="11" s="1"/>
  <c r="F90" i="11"/>
  <c r="C116" i="11"/>
  <c r="C11" i="11"/>
  <c r="C14" i="11" s="1"/>
  <c r="E64" i="35"/>
  <c r="E102" i="35"/>
  <c r="H9" i="30"/>
  <c r="B78" i="30" s="1"/>
  <c r="C124" i="30"/>
  <c r="H54" i="30"/>
  <c r="H111" i="25"/>
  <c r="C115" i="17"/>
  <c r="H63" i="11"/>
  <c r="D98" i="11"/>
  <c r="B57" i="32"/>
  <c r="B84" i="32"/>
  <c r="B332" i="32"/>
  <c r="D12" i="18"/>
  <c r="D13" i="25"/>
  <c r="B13" i="25"/>
  <c r="E72" i="11"/>
  <c r="H68" i="34"/>
  <c r="B11" i="11"/>
  <c r="H11" i="11" s="1"/>
  <c r="D11" i="34"/>
  <c r="D47" i="33"/>
  <c r="C12" i="18"/>
  <c r="C47" i="18" s="1"/>
  <c r="G34" i="18"/>
  <c r="G100" i="18" s="1"/>
  <c r="G34" i="17"/>
  <c r="G36" i="34"/>
  <c r="H36" i="34" s="1"/>
  <c r="B88" i="34" s="1"/>
  <c r="G69" i="30"/>
  <c r="H69" i="30"/>
  <c r="H53" i="33"/>
  <c r="H9" i="35"/>
  <c r="B70" i="35" s="1"/>
  <c r="C88" i="35"/>
  <c r="C96" i="35"/>
  <c r="B55" i="34"/>
  <c r="G109" i="30"/>
  <c r="F88" i="35"/>
  <c r="B76" i="27"/>
  <c r="B70" i="33"/>
  <c r="B108" i="33" s="1"/>
  <c r="B10" i="30"/>
  <c r="D20" i="30"/>
  <c r="D96" i="30"/>
  <c r="B104" i="30"/>
  <c r="F104" i="30"/>
  <c r="C123" i="30" s="1"/>
  <c r="C125" i="30"/>
  <c r="B94" i="27"/>
  <c r="F94" i="27"/>
  <c r="D102" i="27"/>
  <c r="B64" i="17"/>
  <c r="H63" i="17"/>
  <c r="G67" i="33"/>
  <c r="G70" i="33" s="1"/>
  <c r="G68" i="33"/>
  <c r="H68" i="33"/>
  <c r="C10" i="30"/>
  <c r="H48" i="30"/>
  <c r="B72" i="30"/>
  <c r="B110" i="30" s="1"/>
  <c r="E96" i="30"/>
  <c r="E97" i="30" s="1"/>
  <c r="C104" i="30"/>
  <c r="C10" i="27"/>
  <c r="B20" i="27"/>
  <c r="B70" i="27"/>
  <c r="B108" i="27"/>
  <c r="C94" i="27"/>
  <c r="E102" i="27"/>
  <c r="C121" i="27"/>
  <c r="C67" i="25"/>
  <c r="C105" i="25" s="1"/>
  <c r="G63" i="25"/>
  <c r="H63" i="25"/>
  <c r="G64" i="24"/>
  <c r="H64" i="24"/>
  <c r="G66" i="24"/>
  <c r="G34" i="24"/>
  <c r="B67" i="24"/>
  <c r="B105" i="24" s="1"/>
  <c r="H105" i="24" s="1"/>
  <c r="H104" i="11"/>
  <c r="D10" i="30"/>
  <c r="B20" i="30"/>
  <c r="H20" i="30" s="1"/>
  <c r="B96" i="30"/>
  <c r="F96" i="30"/>
  <c r="D10" i="27"/>
  <c r="C20" i="27"/>
  <c r="D94" i="27"/>
  <c r="B102" i="27"/>
  <c r="C20" i="30"/>
  <c r="C69" i="24"/>
  <c r="F66" i="17"/>
  <c r="F104" i="17" s="1"/>
  <c r="D69" i="24"/>
  <c r="C66" i="18"/>
  <c r="C104" i="18" s="1"/>
  <c r="C66" i="17"/>
  <c r="C104" i="17"/>
  <c r="G63" i="24"/>
  <c r="G67" i="24" s="1"/>
  <c r="G105" i="24" s="1"/>
  <c r="D66" i="18"/>
  <c r="D104" i="18" s="1"/>
  <c r="C117" i="11"/>
  <c r="E98" i="11"/>
  <c r="E90" i="11"/>
  <c r="D91" i="11"/>
  <c r="C47" i="11"/>
  <c r="C48" i="11" s="1"/>
  <c r="C51" i="11" s="1"/>
  <c r="C102" i="11" s="1"/>
  <c r="H63" i="24"/>
  <c r="G65" i="18"/>
  <c r="H65" i="18"/>
  <c r="H101" i="18"/>
  <c r="G100" i="11"/>
  <c r="H34" i="11"/>
  <c r="B81" i="11" s="1"/>
  <c r="D47" i="11"/>
  <c r="D48" i="11" s="1"/>
  <c r="D51" i="11" s="1"/>
  <c r="D102" i="11" s="1"/>
  <c r="H68" i="30"/>
  <c r="B129" i="32"/>
  <c r="E186" i="32"/>
  <c r="B185" i="32" s="1"/>
  <c r="B132" i="32"/>
  <c r="E188" i="32"/>
  <c r="B188" i="32" s="1"/>
  <c r="H40" i="18"/>
  <c r="B82" i="18"/>
  <c r="E64" i="17"/>
  <c r="E66" i="17"/>
  <c r="E104" i="17" s="1"/>
  <c r="H9" i="11"/>
  <c r="H64" i="11"/>
  <c r="H66" i="11"/>
  <c r="B85" i="11" s="1"/>
  <c r="C98" i="11"/>
  <c r="B140" i="32"/>
  <c r="E196" i="32"/>
  <c r="B196" i="32" s="1"/>
  <c r="C10" i="11"/>
  <c r="C18" i="11"/>
  <c r="D10" i="11"/>
  <c r="D18" i="11"/>
  <c r="B92" i="32"/>
  <c r="B48" i="34"/>
  <c r="H45" i="35"/>
  <c r="G63" i="18"/>
  <c r="G66" i="18"/>
  <c r="G104" i="18" s="1"/>
  <c r="H18" i="11"/>
  <c r="H98" i="11"/>
  <c r="C11" i="34"/>
  <c r="J55" i="34"/>
  <c r="H102" i="27"/>
  <c r="B75" i="24"/>
  <c r="F40" i="17"/>
  <c r="H40" i="17" s="1"/>
  <c r="C115" i="18"/>
  <c r="C116" i="24" s="1"/>
  <c r="H104" i="30"/>
  <c r="H104" i="18"/>
  <c r="G64" i="25"/>
  <c r="H64" i="25" s="1"/>
  <c r="H67" i="25"/>
  <c r="B86" i="25" s="1"/>
  <c r="E79" i="34"/>
  <c r="B72" i="35"/>
  <c r="B74" i="25"/>
  <c r="H94" i="27"/>
  <c r="E95" i="27" s="1"/>
  <c r="H72" i="30"/>
  <c r="B91" i="30" s="1"/>
  <c r="E75" i="18"/>
  <c r="C78" i="18"/>
  <c r="C13" i="25"/>
  <c r="H13" i="25" s="1"/>
  <c r="B11" i="27"/>
  <c r="B12" i="30"/>
  <c r="B46" i="25"/>
  <c r="B13" i="33"/>
  <c r="B14" i="34"/>
  <c r="B71" i="35"/>
  <c r="B72" i="11"/>
  <c r="H100" i="11"/>
  <c r="H96" i="30"/>
  <c r="G67" i="25"/>
  <c r="G105" i="25" s="1"/>
  <c r="H105" i="25"/>
  <c r="G64" i="17"/>
  <c r="G66" i="17"/>
  <c r="G104" i="17" s="1"/>
  <c r="G107" i="34"/>
  <c r="H34" i="18"/>
  <c r="B81" i="18" s="1"/>
  <c r="C46" i="25"/>
  <c r="C47" i="25" s="1"/>
  <c r="C11" i="27"/>
  <c r="C12" i="30"/>
  <c r="C14" i="34"/>
  <c r="C13" i="33"/>
  <c r="D46" i="25"/>
  <c r="D47" i="25"/>
  <c r="D11" i="27"/>
  <c r="D12" i="30"/>
  <c r="D14" i="34"/>
  <c r="D13" i="33"/>
  <c r="B47" i="33"/>
  <c r="H12" i="35"/>
  <c r="B11" i="34"/>
  <c r="E72" i="18"/>
  <c r="E74" i="18"/>
  <c r="E76" i="24"/>
  <c r="D14" i="25"/>
  <c r="D14" i="27"/>
  <c r="D15" i="30"/>
  <c r="C91" i="11"/>
  <c r="G101" i="24"/>
  <c r="H34" i="24"/>
  <c r="B82" i="24" s="1"/>
  <c r="H66" i="24"/>
  <c r="H67" i="24"/>
  <c r="B86" i="24" s="1"/>
  <c r="G34" i="25"/>
  <c r="H67" i="33"/>
  <c r="H70" i="33"/>
  <c r="B89" i="33" s="1"/>
  <c r="C14" i="18"/>
  <c r="C13" i="24"/>
  <c r="B47" i="11"/>
  <c r="B14" i="27"/>
  <c r="B14" i="25"/>
  <c r="F91" i="11"/>
  <c r="B91" i="11"/>
  <c r="H20" i="27"/>
  <c r="B66" i="17"/>
  <c r="B104" i="17"/>
  <c r="H104" i="17"/>
  <c r="H34" i="17"/>
  <c r="B81" i="17"/>
  <c r="G100" i="17"/>
  <c r="B75" i="11"/>
  <c r="E75" i="11"/>
  <c r="B12" i="18"/>
  <c r="D47" i="18"/>
  <c r="D48" i="18" s="1"/>
  <c r="D51" i="18" s="1"/>
  <c r="D102" i="18" s="1"/>
  <c r="D14" i="18"/>
  <c r="D13" i="24"/>
  <c r="C48" i="34"/>
  <c r="H46" i="35"/>
  <c r="B100" i="35"/>
  <c r="D48" i="34"/>
  <c r="B97" i="30"/>
  <c r="D97" i="30"/>
  <c r="H63" i="18"/>
  <c r="H66" i="18"/>
  <c r="B85" i="18"/>
  <c r="E70" i="35"/>
  <c r="E80" i="34"/>
  <c r="E81" i="34" s="1"/>
  <c r="H48" i="34"/>
  <c r="F101" i="17"/>
  <c r="H101" i="17" s="1"/>
  <c r="B82" i="17"/>
  <c r="H13" i="33"/>
  <c r="F40" i="24"/>
  <c r="C116" i="25"/>
  <c r="H39" i="35"/>
  <c r="D14" i="24"/>
  <c r="D15" i="27"/>
  <c r="D16" i="27" s="1"/>
  <c r="H68" i="27"/>
  <c r="H70" i="27"/>
  <c r="B89" i="27"/>
  <c r="H100" i="18"/>
  <c r="G106" i="18"/>
  <c r="D47" i="27"/>
  <c r="D48" i="27"/>
  <c r="D11" i="30"/>
  <c r="D13" i="34"/>
  <c r="D12" i="33"/>
  <c r="F95" i="27"/>
  <c r="E116" i="30"/>
  <c r="H107" i="34"/>
  <c r="D116" i="30"/>
  <c r="D141" i="30" s="1"/>
  <c r="H64" i="17"/>
  <c r="H66" i="17"/>
  <c r="B85" i="17"/>
  <c r="C116" i="30"/>
  <c r="H14" i="34"/>
  <c r="H46" i="25"/>
  <c r="B47" i="25"/>
  <c r="H73" i="34"/>
  <c r="B92" i="34" s="1"/>
  <c r="C14" i="25"/>
  <c r="C14" i="27"/>
  <c r="C15" i="30"/>
  <c r="B95" i="27"/>
  <c r="F97" i="30"/>
  <c r="H12" i="18"/>
  <c r="B14" i="18"/>
  <c r="B13" i="24"/>
  <c r="B47" i="18"/>
  <c r="G101" i="25"/>
  <c r="H34" i="25"/>
  <c r="B82" i="25"/>
  <c r="H100" i="17"/>
  <c r="B15" i="30"/>
  <c r="C95" i="27"/>
  <c r="D95" i="27"/>
  <c r="H12" i="30"/>
  <c r="E76" i="27"/>
  <c r="C14" i="24"/>
  <c r="C15" i="27"/>
  <c r="C16" i="27" s="1"/>
  <c r="G108" i="33"/>
  <c r="H108" i="33"/>
  <c r="H101" i="24"/>
  <c r="H11" i="34"/>
  <c r="B116" i="30"/>
  <c r="H116" i="30" s="1"/>
  <c r="H47" i="11"/>
  <c r="H47" i="33"/>
  <c r="D48" i="25"/>
  <c r="D51" i="25" s="1"/>
  <c r="D103" i="25" s="1"/>
  <c r="E75" i="17"/>
  <c r="E76" i="17"/>
  <c r="B77" i="27"/>
  <c r="B79" i="30"/>
  <c r="B76" i="11"/>
  <c r="B77" i="11"/>
  <c r="H15" i="35"/>
  <c r="H11" i="27"/>
  <c r="B11" i="30"/>
  <c r="B47" i="27"/>
  <c r="B48" i="27" s="1"/>
  <c r="B12" i="33"/>
  <c r="B13" i="34"/>
  <c r="H100" i="35"/>
  <c r="B81" i="35"/>
  <c r="F40" i="25"/>
  <c r="C119" i="27"/>
  <c r="F41" i="27"/>
  <c r="H41" i="27" s="1"/>
  <c r="B86" i="27" s="1"/>
  <c r="F102" i="24"/>
  <c r="H102" i="24" s="1"/>
  <c r="H40" i="24"/>
  <c r="B83" i="24"/>
  <c r="D12" i="34"/>
  <c r="D11" i="33"/>
  <c r="B11" i="33"/>
  <c r="B12" i="34"/>
  <c r="D136" i="30"/>
  <c r="B74" i="24"/>
  <c r="H101" i="25"/>
  <c r="E74" i="25"/>
  <c r="E75" i="25" s="1"/>
  <c r="B48" i="18"/>
  <c r="H47" i="18"/>
  <c r="F116" i="30"/>
  <c r="B78" i="27"/>
  <c r="D16" i="35"/>
  <c r="H14" i="27"/>
  <c r="H110" i="30"/>
  <c r="B14" i="24"/>
  <c r="H13" i="24"/>
  <c r="B15" i="27"/>
  <c r="B16" i="27"/>
  <c r="E136" i="30"/>
  <c r="E141" i="30"/>
  <c r="H14" i="25"/>
  <c r="B16" i="30"/>
  <c r="B49" i="30"/>
  <c r="B136" i="30"/>
  <c r="H14" i="18"/>
  <c r="B15" i="18" s="1"/>
  <c r="B48" i="25"/>
  <c r="C141" i="30"/>
  <c r="C136" i="30"/>
  <c r="C47" i="27"/>
  <c r="C48" i="27" s="1"/>
  <c r="C11" i="30"/>
  <c r="H11" i="30" s="1"/>
  <c r="C13" i="34"/>
  <c r="H13" i="34" s="1"/>
  <c r="C12" i="33"/>
  <c r="H12" i="33"/>
  <c r="H14" i="35"/>
  <c r="D49" i="30"/>
  <c r="D40" i="35"/>
  <c r="H11" i="35"/>
  <c r="F105" i="27"/>
  <c r="H105" i="27" s="1"/>
  <c r="F102" i="25"/>
  <c r="H102" i="25" s="1"/>
  <c r="H40" i="25"/>
  <c r="B83" i="25"/>
  <c r="B50" i="30"/>
  <c r="B15" i="25"/>
  <c r="D15" i="25"/>
  <c r="C15" i="25"/>
  <c r="B51" i="18"/>
  <c r="B79" i="27"/>
  <c r="B80" i="27"/>
  <c r="B81" i="27"/>
  <c r="B40" i="35"/>
  <c r="B16" i="35"/>
  <c r="E71" i="35"/>
  <c r="E72" i="35"/>
  <c r="D48" i="33"/>
  <c r="D41" i="35"/>
  <c r="C16" i="30"/>
  <c r="C49" i="30"/>
  <c r="C50" i="30" s="1"/>
  <c r="C53" i="30" s="1"/>
  <c r="C55" i="30" s="1"/>
  <c r="C108" i="30" s="1"/>
  <c r="B51" i="25"/>
  <c r="C15" i="18"/>
  <c r="D15" i="18"/>
  <c r="H108" i="27"/>
  <c r="H14" i="24"/>
  <c r="B15" i="24" s="1"/>
  <c r="H47" i="27"/>
  <c r="B16" i="33"/>
  <c r="B48" i="33"/>
  <c r="H48" i="33" s="1"/>
  <c r="C12" i="34"/>
  <c r="C11" i="33"/>
  <c r="F136" i="30"/>
  <c r="F141" i="30"/>
  <c r="E77" i="27"/>
  <c r="E78" i="27"/>
  <c r="E78" i="30"/>
  <c r="E76" i="33"/>
  <c r="B49" i="34"/>
  <c r="B16" i="34"/>
  <c r="D16" i="34"/>
  <c r="D49" i="34"/>
  <c r="D50" i="34" s="1"/>
  <c r="C49" i="34"/>
  <c r="H49" i="34" s="1"/>
  <c r="E79" i="30"/>
  <c r="E80" i="30" s="1"/>
  <c r="E77" i="33"/>
  <c r="E78" i="33"/>
  <c r="C16" i="33"/>
  <c r="C49" i="33" s="1"/>
  <c r="C48" i="33"/>
  <c r="H11" i="33"/>
  <c r="G36" i="27"/>
  <c r="B50" i="34"/>
  <c r="C15" i="24"/>
  <c r="B41" i="35"/>
  <c r="B102" i="18"/>
  <c r="H49" i="30"/>
  <c r="G64" i="35"/>
  <c r="G102" i="35"/>
  <c r="B83" i="35"/>
  <c r="C16" i="35"/>
  <c r="H16" i="35"/>
  <c r="C17" i="35" s="1"/>
  <c r="C40" i="35"/>
  <c r="H12" i="34"/>
  <c r="B49" i="33"/>
  <c r="B103" i="25"/>
  <c r="H13" i="35"/>
  <c r="H50" i="30"/>
  <c r="H52" i="30" s="1"/>
  <c r="B53" i="30"/>
  <c r="B55" i="30" s="1"/>
  <c r="H55" i="30" s="1"/>
  <c r="D17" i="35"/>
  <c r="B17" i="35"/>
  <c r="B52" i="33"/>
  <c r="E53" i="39"/>
  <c r="H102" i="35"/>
  <c r="H53" i="30"/>
  <c r="H36" i="27"/>
  <c r="B85" i="27" s="1"/>
  <c r="G104" i="27"/>
  <c r="C41" i="35"/>
  <c r="H41" i="35"/>
  <c r="H40" i="35"/>
  <c r="G36" i="30"/>
  <c r="H36" i="30" s="1"/>
  <c r="B87" i="30" s="1"/>
  <c r="G36" i="33"/>
  <c r="C52" i="33"/>
  <c r="C54" i="33"/>
  <c r="C106" i="33" s="1"/>
  <c r="G106" i="30"/>
  <c r="B54" i="33"/>
  <c r="H54" i="33" s="1"/>
  <c r="B87" i="33" s="1"/>
  <c r="B89" i="30"/>
  <c r="G104" i="33"/>
  <c r="H104" i="33" s="1"/>
  <c r="H36" i="33"/>
  <c r="B85" i="33" s="1"/>
  <c r="H104" i="27"/>
  <c r="E102" i="39"/>
  <c r="B53" i="39"/>
  <c r="B102" i="39" s="1"/>
  <c r="B78" i="33"/>
  <c r="H106" i="30"/>
  <c r="G106" i="11"/>
  <c r="G108" i="11"/>
  <c r="G9" i="17" s="1"/>
  <c r="G98" i="17" s="1"/>
  <c r="B80" i="30"/>
  <c r="E80" i="27"/>
  <c r="C116" i="27"/>
  <c r="B81" i="30"/>
  <c r="B82" i="30"/>
  <c r="B83" i="30"/>
  <c r="B84" i="30"/>
  <c r="B77" i="33"/>
  <c r="G112" i="30"/>
  <c r="G114" i="30" s="1"/>
  <c r="G110" i="27"/>
  <c r="G112" i="27"/>
  <c r="G114" i="27"/>
  <c r="F110" i="27"/>
  <c r="C138" i="30"/>
  <c r="C143" i="30"/>
  <c r="D138" i="30"/>
  <c r="D143" i="30"/>
  <c r="E138" i="30"/>
  <c r="E143" i="30"/>
  <c r="F143" i="30"/>
  <c r="F138" i="30"/>
  <c r="B73" i="35"/>
  <c r="B74" i="35"/>
  <c r="B75" i="35"/>
  <c r="B76" i="35" s="1"/>
  <c r="B138" i="30"/>
  <c r="D104" i="35"/>
  <c r="D106" i="35"/>
  <c r="C104" i="35"/>
  <c r="C106" i="35"/>
  <c r="G106" i="17"/>
  <c r="G108" i="17" s="1"/>
  <c r="F106" i="17"/>
  <c r="B104" i="35"/>
  <c r="B106" i="35"/>
  <c r="F106" i="18"/>
  <c r="G110" i="33"/>
  <c r="J103" i="18"/>
  <c r="J104" i="18" s="1"/>
  <c r="G113" i="34"/>
  <c r="C113" i="34"/>
  <c r="G107" i="24"/>
  <c r="F107" i="24"/>
  <c r="G107" i="25"/>
  <c r="F107" i="25"/>
  <c r="G111" i="17" l="1"/>
  <c r="G9" i="18"/>
  <c r="G98" i="18" s="1"/>
  <c r="G9" i="33"/>
  <c r="G102" i="33" s="1"/>
  <c r="G112" i="33" s="1"/>
  <c r="G118" i="30"/>
  <c r="G120" i="30" s="1"/>
  <c r="C49" i="27"/>
  <c r="C52" i="27" s="1"/>
  <c r="C54" i="27" s="1"/>
  <c r="C106" i="27" s="1"/>
  <c r="H48" i="27"/>
  <c r="B49" i="27"/>
  <c r="B106" i="33"/>
  <c r="H106" i="33" s="1"/>
  <c r="B108" i="30"/>
  <c r="H108" i="30" s="1"/>
  <c r="E60" i="30"/>
  <c r="F60" i="30"/>
  <c r="F62" i="30" s="1"/>
  <c r="F109" i="30" s="1"/>
  <c r="F112" i="30" s="1"/>
  <c r="F114" i="30" s="1"/>
  <c r="D49" i="27"/>
  <c r="D52" i="27" s="1"/>
  <c r="D54" i="27" s="1"/>
  <c r="D106" i="27" s="1"/>
  <c r="C17" i="27"/>
  <c r="H16" i="27"/>
  <c r="C48" i="25"/>
  <c r="H47" i="25"/>
  <c r="C16" i="34"/>
  <c r="B141" i="30"/>
  <c r="B143" i="30" s="1"/>
  <c r="F101" i="11"/>
  <c r="H40" i="11"/>
  <c r="B82" i="11" s="1"/>
  <c r="D45" i="19"/>
  <c r="D53" i="19"/>
  <c r="D15" i="24"/>
  <c r="B109" i="34"/>
  <c r="H55" i="34"/>
  <c r="B90" i="34" s="1"/>
  <c r="C48" i="18"/>
  <c r="G110" i="34"/>
  <c r="G52" i="35"/>
  <c r="C120" i="27"/>
  <c r="F102" i="27"/>
  <c r="D119" i="27" s="1"/>
  <c r="G55" i="34"/>
  <c r="H53" i="34"/>
  <c r="G109" i="34"/>
  <c r="C47" i="24"/>
  <c r="C48" i="24" s="1"/>
  <c r="C51" i="24" s="1"/>
  <c r="B48" i="17"/>
  <c r="H47" i="17"/>
  <c r="B69" i="31"/>
  <c r="N43" i="32"/>
  <c r="K47" i="32"/>
  <c r="A68" i="39"/>
  <c r="B97" i="41"/>
  <c r="B110" i="41" s="1"/>
  <c r="B14" i="11"/>
  <c r="B88" i="35"/>
  <c r="E88" i="35"/>
  <c r="C118" i="35"/>
  <c r="H42" i="30"/>
  <c r="B88" i="30" s="1"/>
  <c r="D47" i="24"/>
  <c r="D48" i="24" s="1"/>
  <c r="D51" i="24" s="1"/>
  <c r="H13" i="18"/>
  <c r="D75" i="19"/>
  <c r="D78" i="19" s="1"/>
  <c r="N37" i="32"/>
  <c r="L47" i="32"/>
  <c r="J51" i="32"/>
  <c r="J31" i="32" s="1"/>
  <c r="J47" i="32" s="1"/>
  <c r="I51" i="32"/>
  <c r="I31" i="32" s="1"/>
  <c r="H51" i="32"/>
  <c r="H31" i="32" s="1"/>
  <c r="L230" i="32"/>
  <c r="H63" i="35"/>
  <c r="D94" i="41"/>
  <c r="G69" i="34"/>
  <c r="H44" i="35"/>
  <c r="F51" i="35" s="1"/>
  <c r="F53" i="35" s="1"/>
  <c r="F101" i="35" s="1"/>
  <c r="F104" i="35" s="1"/>
  <c r="F106" i="35" s="1"/>
  <c r="D14" i="30"/>
  <c r="D15" i="17"/>
  <c r="C29" i="32"/>
  <c r="I53" i="32"/>
  <c r="I32" i="32" s="1"/>
  <c r="N32" i="32" s="1"/>
  <c r="H53" i="32"/>
  <c r="B83" i="47"/>
  <c r="B85" i="47" s="1"/>
  <c r="G29" i="47"/>
  <c r="G33" i="47"/>
  <c r="B47" i="24"/>
  <c r="H11" i="24"/>
  <c r="C15" i="17"/>
  <c r="B15" i="17"/>
  <c r="H45" i="19"/>
  <c r="H53" i="19"/>
  <c r="A62" i="39"/>
  <c r="H66" i="35"/>
  <c r="H67" i="35" s="1"/>
  <c r="H55" i="32"/>
  <c r="H33" i="32" s="1"/>
  <c r="N33" i="32" s="1"/>
  <c r="H29" i="31"/>
  <c r="G116" i="33" l="1"/>
  <c r="G117" i="33" s="1"/>
  <c r="G9" i="34"/>
  <c r="G105" i="34" s="1"/>
  <c r="G115" i="34" s="1"/>
  <c r="G119" i="34" s="1"/>
  <c r="G121" i="34" s="1"/>
  <c r="I47" i="32"/>
  <c r="E51" i="35"/>
  <c r="D47" i="19"/>
  <c r="D49" i="19" s="1"/>
  <c r="D51" i="19"/>
  <c r="D54" i="19" s="1"/>
  <c r="H16" i="34"/>
  <c r="C17" i="34"/>
  <c r="H43" i="35"/>
  <c r="B52" i="27"/>
  <c r="H49" i="27"/>
  <c r="H51" i="27" s="1"/>
  <c r="H47" i="19"/>
  <c r="H51" i="19"/>
  <c r="H54" i="19" s="1"/>
  <c r="H49" i="19"/>
  <c r="H47" i="24"/>
  <c r="B48" i="24"/>
  <c r="D15" i="33"/>
  <c r="D16" i="33" s="1"/>
  <c r="D16" i="30"/>
  <c r="G53" i="35"/>
  <c r="G101" i="35" s="1"/>
  <c r="H52" i="35"/>
  <c r="G27" i="35"/>
  <c r="H109" i="34"/>
  <c r="B113" i="34"/>
  <c r="C50" i="34"/>
  <c r="H50" i="34" s="1"/>
  <c r="D23" i="27"/>
  <c r="D26" i="27" s="1"/>
  <c r="D27" i="27" s="1"/>
  <c r="D30" i="27" s="1"/>
  <c r="D103" i="27" s="1"/>
  <c r="D110" i="27" s="1"/>
  <c r="B17" i="27"/>
  <c r="C23" i="27"/>
  <c r="C26" i="27" s="1"/>
  <c r="C27" i="27" s="1"/>
  <c r="C30" i="27" s="1"/>
  <c r="C103" i="27" s="1"/>
  <c r="C110" i="27" s="1"/>
  <c r="C112" i="27" s="1"/>
  <c r="C114" i="27" s="1"/>
  <c r="B23" i="27"/>
  <c r="G108" i="18"/>
  <c r="G9" i="24" s="1"/>
  <c r="G99" i="24" s="1"/>
  <c r="G109" i="18"/>
  <c r="D103" i="24"/>
  <c r="H88" i="35"/>
  <c r="H48" i="17"/>
  <c r="B51" i="17"/>
  <c r="H101" i="11"/>
  <c r="F106" i="11"/>
  <c r="F108" i="11" s="1"/>
  <c r="F9" i="17" s="1"/>
  <c r="F118" i="30"/>
  <c r="F120" i="30" s="1"/>
  <c r="F137" i="30"/>
  <c r="F142" i="30"/>
  <c r="F9" i="33"/>
  <c r="F112" i="27"/>
  <c r="F114" i="27" s="1"/>
  <c r="H69" i="34"/>
  <c r="J69" i="34" s="1"/>
  <c r="G73" i="34"/>
  <c r="G111" i="34" s="1"/>
  <c r="H47" i="32"/>
  <c r="N31" i="32"/>
  <c r="N47" i="32" s="1"/>
  <c r="H14" i="11"/>
  <c r="B15" i="11" s="1"/>
  <c r="B48" i="11"/>
  <c r="C103" i="24"/>
  <c r="C51" i="18"/>
  <c r="H48" i="18"/>
  <c r="H48" i="25"/>
  <c r="C51" i="25"/>
  <c r="E62" i="30"/>
  <c r="H60" i="30"/>
  <c r="D17" i="27"/>
  <c r="C89" i="35" l="1"/>
  <c r="D89" i="35"/>
  <c r="F89" i="35"/>
  <c r="G109" i="24"/>
  <c r="G9" i="25" s="1"/>
  <c r="G99" i="25" s="1"/>
  <c r="G109" i="25" s="1"/>
  <c r="G112" i="25" s="1"/>
  <c r="G111" i="24"/>
  <c r="D112" i="27"/>
  <c r="D114" i="27" s="1"/>
  <c r="G98" i="35"/>
  <c r="H27" i="35"/>
  <c r="B79" i="35" s="1"/>
  <c r="B84" i="35" s="1"/>
  <c r="B85" i="35" s="1"/>
  <c r="G90" i="35" s="1"/>
  <c r="G103" i="35" s="1"/>
  <c r="D50" i="30"/>
  <c r="D53" i="30" s="1"/>
  <c r="D55" i="30" s="1"/>
  <c r="D108" i="30" s="1"/>
  <c r="H16" i="30"/>
  <c r="D17" i="30"/>
  <c r="B54" i="27"/>
  <c r="H52" i="27"/>
  <c r="H51" i="35"/>
  <c r="E53" i="35"/>
  <c r="H51" i="25"/>
  <c r="B84" i="25" s="1"/>
  <c r="C103" i="25"/>
  <c r="H103" i="25" s="1"/>
  <c r="H51" i="17"/>
  <c r="B83" i="17" s="1"/>
  <c r="B102" i="17"/>
  <c r="H102" i="17" s="1"/>
  <c r="B26" i="27"/>
  <c r="H23" i="27"/>
  <c r="D17" i="33"/>
  <c r="D49" i="33"/>
  <c r="H16" i="33"/>
  <c r="D15" i="11"/>
  <c r="B21" i="11"/>
  <c r="C15" i="11"/>
  <c r="D21" i="11"/>
  <c r="D24" i="11" s="1"/>
  <c r="D25" i="11" s="1"/>
  <c r="D28" i="11" s="1"/>
  <c r="D99" i="11" s="1"/>
  <c r="D106" i="11" s="1"/>
  <c r="D108" i="11" s="1"/>
  <c r="D9" i="17" s="1"/>
  <c r="C21" i="11"/>
  <c r="C24" i="11" s="1"/>
  <c r="C25" i="11" s="1"/>
  <c r="C28" i="11" s="1"/>
  <c r="C99" i="11" s="1"/>
  <c r="C106" i="11" s="1"/>
  <c r="C108" i="11" s="1"/>
  <c r="C9" i="17" s="1"/>
  <c r="H48" i="24"/>
  <c r="B51" i="24"/>
  <c r="H62" i="30"/>
  <c r="B90" i="30" s="1"/>
  <c r="E109" i="30"/>
  <c r="C102" i="18"/>
  <c r="H102" i="18" s="1"/>
  <c r="H51" i="18"/>
  <c r="B83" i="18" s="1"/>
  <c r="H48" i="11"/>
  <c r="H50" i="11" s="1"/>
  <c r="B51" i="11"/>
  <c r="F94" i="33"/>
  <c r="F102" i="33"/>
  <c r="C122" i="33" s="1"/>
  <c r="F98" i="17"/>
  <c r="F108" i="17" s="1"/>
  <c r="F90" i="17"/>
  <c r="B89" i="35"/>
  <c r="E89" i="35"/>
  <c r="B17" i="34"/>
  <c r="D17" i="34"/>
  <c r="F111" i="17" l="1"/>
  <c r="F9" i="18"/>
  <c r="H109" i="30"/>
  <c r="E112" i="30"/>
  <c r="E114" i="30" s="1"/>
  <c r="H21" i="11"/>
  <c r="B24" i="11"/>
  <c r="E101" i="35"/>
  <c r="H53" i="35"/>
  <c r="H98" i="35"/>
  <c r="H104" i="35" s="1"/>
  <c r="H106" i="35" s="1"/>
  <c r="G104" i="35"/>
  <c r="G106" i="35" s="1"/>
  <c r="G110" i="35" s="1"/>
  <c r="H51" i="11"/>
  <c r="B102" i="11"/>
  <c r="H102" i="11" s="1"/>
  <c r="C90" i="17"/>
  <c r="C18" i="17"/>
  <c r="C98" i="17"/>
  <c r="B17" i="30"/>
  <c r="D23" i="30"/>
  <c r="D26" i="30" s="1"/>
  <c r="D27" i="30" s="1"/>
  <c r="D30" i="30" s="1"/>
  <c r="D105" i="30" s="1"/>
  <c r="D112" i="30" s="1"/>
  <c r="C23" i="30"/>
  <c r="C26" i="30" s="1"/>
  <c r="C27" i="30" s="1"/>
  <c r="C30" i="30" s="1"/>
  <c r="C105" i="30" s="1"/>
  <c r="C112" i="30" s="1"/>
  <c r="C114" i="30" s="1"/>
  <c r="B23" i="30"/>
  <c r="C17" i="30"/>
  <c r="F108" i="35"/>
  <c r="F110" i="35" s="1"/>
  <c r="F90" i="35"/>
  <c r="F103" i="35" s="1"/>
  <c r="B103" i="24"/>
  <c r="H103" i="24" s="1"/>
  <c r="B53" i="24"/>
  <c r="H51" i="24"/>
  <c r="B84" i="24" s="1"/>
  <c r="D53" i="24"/>
  <c r="C53" i="24"/>
  <c r="D18" i="17"/>
  <c r="D90" i="17"/>
  <c r="D98" i="17"/>
  <c r="B17" i="33"/>
  <c r="C17" i="33"/>
  <c r="E59" i="27"/>
  <c r="F59" i="27"/>
  <c r="F61" i="27" s="1"/>
  <c r="F107" i="27" s="1"/>
  <c r="D108" i="35"/>
  <c r="D110" i="35" s="1"/>
  <c r="D90" i="35"/>
  <c r="D103" i="35" s="1"/>
  <c r="E108" i="35"/>
  <c r="E90" i="35"/>
  <c r="E103" i="35" s="1"/>
  <c r="H89" i="35"/>
  <c r="B108" i="35"/>
  <c r="B90" i="35"/>
  <c r="D52" i="33"/>
  <c r="H49" i="33"/>
  <c r="B27" i="27"/>
  <c r="H26" i="27"/>
  <c r="H54" i="27"/>
  <c r="B87" i="27" s="1"/>
  <c r="B106" i="27"/>
  <c r="H106" i="27" s="1"/>
  <c r="C108" i="35"/>
  <c r="C110" i="35" s="1"/>
  <c r="C90" i="35"/>
  <c r="C103" i="35" s="1"/>
  <c r="H90" i="35" l="1"/>
  <c r="B103" i="35"/>
  <c r="H103" i="35" s="1"/>
  <c r="D114" i="30"/>
  <c r="B82" i="35"/>
  <c r="J52" i="35"/>
  <c r="E137" i="30"/>
  <c r="E9" i="33"/>
  <c r="E118" i="30"/>
  <c r="E120" i="30" s="1"/>
  <c r="E142" i="30"/>
  <c r="B30" i="27"/>
  <c r="H27" i="27"/>
  <c r="H108" i="35"/>
  <c r="H110" i="35" s="1"/>
  <c r="B110" i="35"/>
  <c r="E61" i="27"/>
  <c r="H59" i="27"/>
  <c r="J106" i="27" s="1"/>
  <c r="F57" i="11"/>
  <c r="F103" i="11" s="1"/>
  <c r="E57" i="11"/>
  <c r="B83" i="11"/>
  <c r="H101" i="35"/>
  <c r="E104" i="35"/>
  <c r="E106" i="35" s="1"/>
  <c r="E110" i="35" s="1"/>
  <c r="D54" i="33"/>
  <c r="D106" i="33" s="1"/>
  <c r="H52" i="33"/>
  <c r="B26" i="30"/>
  <c r="H23" i="30"/>
  <c r="H24" i="11"/>
  <c r="B25" i="11"/>
  <c r="F98" i="18"/>
  <c r="F90" i="18"/>
  <c r="C118" i="30"/>
  <c r="C120" i="30" s="1"/>
  <c r="C142" i="30"/>
  <c r="C137" i="30"/>
  <c r="C9" i="33"/>
  <c r="F108" i="18" l="1"/>
  <c r="F9" i="24" s="1"/>
  <c r="F109" i="18"/>
  <c r="B103" i="27"/>
  <c r="H30" i="27"/>
  <c r="B84" i="27" s="1"/>
  <c r="B90" i="27" s="1"/>
  <c r="E79" i="27" s="1"/>
  <c r="B82" i="27" s="1"/>
  <c r="B91" i="27" s="1"/>
  <c r="D142" i="30"/>
  <c r="D137" i="30"/>
  <c r="D9" i="33"/>
  <c r="D118" i="30"/>
  <c r="D120" i="30" s="1"/>
  <c r="B27" i="30"/>
  <c r="H26" i="30"/>
  <c r="B28" i="11"/>
  <c r="H25" i="11"/>
  <c r="C94" i="33"/>
  <c r="C20" i="33"/>
  <c r="C102" i="33"/>
  <c r="F92" i="18"/>
  <c r="F105" i="18" s="1"/>
  <c r="H57" i="11"/>
  <c r="B84" i="11" s="1"/>
  <c r="E103" i="11"/>
  <c r="E107" i="27"/>
  <c r="H61" i="27"/>
  <c r="B88" i="27" s="1"/>
  <c r="E102" i="33"/>
  <c r="E94" i="33"/>
  <c r="G96" i="27" l="1"/>
  <c r="G109" i="27" s="1"/>
  <c r="E96" i="27"/>
  <c r="E109" i="27" s="1"/>
  <c r="B96" i="27"/>
  <c r="F96" i="27"/>
  <c r="F109" i="27" s="1"/>
  <c r="C96" i="27"/>
  <c r="C109" i="27" s="1"/>
  <c r="D96" i="27"/>
  <c r="D109" i="27" s="1"/>
  <c r="B99" i="11"/>
  <c r="H28" i="11"/>
  <c r="B80" i="11" s="1"/>
  <c r="B86" i="11" s="1"/>
  <c r="B87" i="11" s="1"/>
  <c r="D20" i="33"/>
  <c r="D94" i="33"/>
  <c r="D102" i="33"/>
  <c r="H103" i="27"/>
  <c r="H110" i="27" s="1"/>
  <c r="H112" i="27" s="1"/>
  <c r="H114" i="27" s="1"/>
  <c r="B110" i="27"/>
  <c r="B112" i="27" s="1"/>
  <c r="B114" i="27" s="1"/>
  <c r="H103" i="11"/>
  <c r="E106" i="11"/>
  <c r="E108" i="11" s="1"/>
  <c r="E9" i="17" s="1"/>
  <c r="H107" i="27"/>
  <c r="E110" i="27"/>
  <c r="E112" i="27" s="1"/>
  <c r="E114" i="27" s="1"/>
  <c r="B30" i="30"/>
  <c r="H27" i="30"/>
  <c r="F99" i="24"/>
  <c r="F91" i="24"/>
  <c r="G92" i="11" l="1"/>
  <c r="G105" i="11" s="1"/>
  <c r="F92" i="11"/>
  <c r="F105" i="11" s="1"/>
  <c r="B92" i="11"/>
  <c r="C92" i="11"/>
  <c r="C105" i="11" s="1"/>
  <c r="D92" i="11"/>
  <c r="D105" i="11" s="1"/>
  <c r="E92" i="11"/>
  <c r="E105" i="11" s="1"/>
  <c r="D116" i="24"/>
  <c r="F111" i="24"/>
  <c r="F109" i="24"/>
  <c r="F9" i="25" s="1"/>
  <c r="H99" i="11"/>
  <c r="H106" i="11" s="1"/>
  <c r="H108" i="11" s="1"/>
  <c r="B106" i="11"/>
  <c r="B108" i="11" s="1"/>
  <c r="B9" i="17" s="1"/>
  <c r="B109" i="27"/>
  <c r="H109" i="27" s="1"/>
  <c r="H96" i="27"/>
  <c r="H30" i="30"/>
  <c r="B86" i="30" s="1"/>
  <c r="B92" i="30" s="1"/>
  <c r="B93" i="30" s="1"/>
  <c r="B105" i="30"/>
  <c r="E90" i="17"/>
  <c r="C117" i="17"/>
  <c r="E57" i="17" s="1"/>
  <c r="E98" i="17"/>
  <c r="B98" i="17" l="1"/>
  <c r="H98" i="17" s="1"/>
  <c r="B10" i="17"/>
  <c r="B90" i="17"/>
  <c r="H9" i="17"/>
  <c r="B18" i="17"/>
  <c r="H18" i="17" s="1"/>
  <c r="C116" i="17"/>
  <c r="F57" i="17" s="1"/>
  <c r="F103" i="17" s="1"/>
  <c r="C10" i="17"/>
  <c r="D10" i="17"/>
  <c r="H92" i="11"/>
  <c r="B105" i="11"/>
  <c r="H105" i="11" s="1"/>
  <c r="H105" i="30"/>
  <c r="H112" i="30" s="1"/>
  <c r="H114" i="30" s="1"/>
  <c r="H118" i="30" s="1"/>
  <c r="H120" i="30" s="1"/>
  <c r="B112" i="30"/>
  <c r="B114" i="30" s="1"/>
  <c r="E103" i="17"/>
  <c r="H57" i="17"/>
  <c r="B84" i="17" s="1"/>
  <c r="E98" i="30"/>
  <c r="E111" i="30" s="1"/>
  <c r="F98" i="30"/>
  <c r="F111" i="30" s="1"/>
  <c r="G98" i="30"/>
  <c r="G111" i="30" s="1"/>
  <c r="D98" i="30"/>
  <c r="D111" i="30" s="1"/>
  <c r="C98" i="30"/>
  <c r="C111" i="30" s="1"/>
  <c r="B98" i="30"/>
  <c r="F91" i="25"/>
  <c r="F99" i="25"/>
  <c r="H90" i="17" l="1"/>
  <c r="F109" i="25"/>
  <c r="F112" i="25" s="1"/>
  <c r="D116" i="25"/>
  <c r="H103" i="17"/>
  <c r="E106" i="17"/>
  <c r="E108" i="17" s="1"/>
  <c r="H98" i="30"/>
  <c r="B111" i="30"/>
  <c r="H111" i="30" s="1"/>
  <c r="B142" i="30"/>
  <c r="B9" i="33"/>
  <c r="B137" i="30"/>
  <c r="B118" i="30"/>
  <c r="B120" i="30" s="1"/>
  <c r="C21" i="17"/>
  <c r="C24" i="17" s="1"/>
  <c r="C25" i="17" s="1"/>
  <c r="C28" i="17" s="1"/>
  <c r="C99" i="17" s="1"/>
  <c r="C106" i="17" s="1"/>
  <c r="C108" i="17" s="1"/>
  <c r="B72" i="17"/>
  <c r="B76" i="17" s="1"/>
  <c r="B77" i="17" s="1"/>
  <c r="B78" i="17" s="1"/>
  <c r="B21" i="17"/>
  <c r="D21" i="17"/>
  <c r="D24" i="17" s="1"/>
  <c r="D25" i="17" s="1"/>
  <c r="D28" i="17" s="1"/>
  <c r="D99" i="17" s="1"/>
  <c r="D106" i="17" s="1"/>
  <c r="D108" i="17" s="1"/>
  <c r="B24" i="17" l="1"/>
  <c r="H21" i="17"/>
  <c r="E9" i="18"/>
  <c r="E111" i="17"/>
  <c r="C9" i="18"/>
  <c r="C111" i="17"/>
  <c r="F91" i="17"/>
  <c r="D91" i="17"/>
  <c r="C91" i="17"/>
  <c r="E91" i="17"/>
  <c r="B20" i="33"/>
  <c r="H20" i="33" s="1"/>
  <c r="B94" i="33"/>
  <c r="H9" i="33"/>
  <c r="B76" i="33" s="1"/>
  <c r="B10" i="33"/>
  <c r="B102" i="33"/>
  <c r="H102" i="33" s="1"/>
  <c r="C123" i="33"/>
  <c r="F59" i="33" s="1"/>
  <c r="F61" i="33" s="1"/>
  <c r="F107" i="33" s="1"/>
  <c r="F110" i="33" s="1"/>
  <c r="F112" i="33" s="1"/>
  <c r="F9" i="34" s="1"/>
  <c r="C10" i="33"/>
  <c r="C124" i="33"/>
  <c r="D10" i="33"/>
  <c r="D9" i="18"/>
  <c r="D111" i="17"/>
  <c r="B91" i="17"/>
  <c r="D23" i="33" l="1"/>
  <c r="D26" i="33" s="1"/>
  <c r="D27" i="33" s="1"/>
  <c r="D30" i="33" s="1"/>
  <c r="D103" i="33" s="1"/>
  <c r="D110" i="33" s="1"/>
  <c r="B23" i="33"/>
  <c r="C23" i="33"/>
  <c r="C26" i="33" s="1"/>
  <c r="C27" i="33" s="1"/>
  <c r="C30" i="33" s="1"/>
  <c r="C103" i="33" s="1"/>
  <c r="C110" i="33" s="1"/>
  <c r="C112" i="33" s="1"/>
  <c r="C9" i="34" s="1"/>
  <c r="E90" i="18"/>
  <c r="E98" i="18"/>
  <c r="D98" i="18"/>
  <c r="D90" i="18"/>
  <c r="D18" i="18"/>
  <c r="E59" i="33"/>
  <c r="H51" i="33"/>
  <c r="B80" i="33"/>
  <c r="B81" i="33" s="1"/>
  <c r="B82" i="33" s="1"/>
  <c r="B79" i="33"/>
  <c r="C90" i="18"/>
  <c r="C18" i="18"/>
  <c r="C98" i="18"/>
  <c r="F97" i="34"/>
  <c r="F105" i="34"/>
  <c r="C125" i="34" s="1"/>
  <c r="H94" i="33"/>
  <c r="B95" i="33"/>
  <c r="B25" i="17"/>
  <c r="H24" i="17"/>
  <c r="B114" i="33" l="1"/>
  <c r="C92" i="18"/>
  <c r="C105" i="18" s="1"/>
  <c r="C105" i="34"/>
  <c r="C115" i="34" s="1"/>
  <c r="C97" i="34"/>
  <c r="C20" i="34"/>
  <c r="F95" i="33"/>
  <c r="E95" i="33"/>
  <c r="C95" i="33"/>
  <c r="D95" i="33"/>
  <c r="E61" i="33"/>
  <c r="H59" i="33"/>
  <c r="D92" i="18"/>
  <c r="D105" i="18" s="1"/>
  <c r="B26" i="33"/>
  <c r="H23" i="33"/>
  <c r="H25" i="17"/>
  <c r="B28" i="17"/>
  <c r="E92" i="18"/>
  <c r="E105" i="18" s="1"/>
  <c r="D112" i="33"/>
  <c r="D9" i="34" s="1"/>
  <c r="H122" i="27"/>
  <c r="E114" i="33" l="1"/>
  <c r="H26" i="33"/>
  <c r="B27" i="33"/>
  <c r="H61" i="33"/>
  <c r="B88" i="33" s="1"/>
  <c r="E107" i="33"/>
  <c r="F114" i="33"/>
  <c r="F116" i="33" s="1"/>
  <c r="F117" i="33" s="1"/>
  <c r="H114" i="33"/>
  <c r="B99" i="17"/>
  <c r="H28" i="17"/>
  <c r="B80" i="17" s="1"/>
  <c r="B86" i="17" s="1"/>
  <c r="B87" i="17" s="1"/>
  <c r="D114" i="33"/>
  <c r="D116" i="33" s="1"/>
  <c r="D117" i="33" s="1"/>
  <c r="D20" i="34"/>
  <c r="D105" i="34"/>
  <c r="D97" i="34"/>
  <c r="C114" i="33"/>
  <c r="C116" i="33" s="1"/>
  <c r="C117" i="33" s="1"/>
  <c r="G92" i="17" l="1"/>
  <c r="G105" i="17" s="1"/>
  <c r="B92" i="17"/>
  <c r="C92" i="17"/>
  <c r="C105" i="17" s="1"/>
  <c r="F92" i="17"/>
  <c r="F105" i="17" s="1"/>
  <c r="E92" i="17"/>
  <c r="E105" i="17" s="1"/>
  <c r="D92" i="17"/>
  <c r="D105" i="17" s="1"/>
  <c r="B30" i="33"/>
  <c r="H27" i="33"/>
  <c r="H99" i="17"/>
  <c r="H106" i="17" s="1"/>
  <c r="H108" i="17" s="1"/>
  <c r="H111" i="17" s="1"/>
  <c r="B106" i="17"/>
  <c r="B108" i="17" s="1"/>
  <c r="H107" i="33"/>
  <c r="E110" i="33"/>
  <c r="E112" i="33" s="1"/>
  <c r="E9" i="34" s="1"/>
  <c r="E97" i="34" l="1"/>
  <c r="E105" i="34"/>
  <c r="E116" i="33"/>
  <c r="E117" i="33" s="1"/>
  <c r="B103" i="33"/>
  <c r="H30" i="33"/>
  <c r="B84" i="33" s="1"/>
  <c r="B90" i="33" s="1"/>
  <c r="B91" i="33" s="1"/>
  <c r="B9" i="18"/>
  <c r="B111" i="17"/>
  <c r="H92" i="17"/>
  <c r="B105" i="17"/>
  <c r="H105" i="17" s="1"/>
  <c r="B98" i="18" l="1"/>
  <c r="H98" i="18" s="1"/>
  <c r="B18" i="18"/>
  <c r="H18" i="18" s="1"/>
  <c r="B90" i="18"/>
  <c r="H9" i="18"/>
  <c r="B10" i="18"/>
  <c r="C116" i="18"/>
  <c r="F57" i="18" s="1"/>
  <c r="F103" i="18" s="1"/>
  <c r="D10" i="18"/>
  <c r="C10" i="18"/>
  <c r="C117" i="18"/>
  <c r="G96" i="33"/>
  <c r="G109" i="33" s="1"/>
  <c r="B96" i="33"/>
  <c r="D96" i="33"/>
  <c r="D109" i="33" s="1"/>
  <c r="E96" i="33"/>
  <c r="E109" i="33" s="1"/>
  <c r="C96" i="33"/>
  <c r="C109" i="33" s="1"/>
  <c r="F96" i="33"/>
  <c r="F109" i="33" s="1"/>
  <c r="B110" i="33"/>
  <c r="B112" i="33" s="1"/>
  <c r="H103" i="33"/>
  <c r="H110" i="33" s="1"/>
  <c r="H112" i="33" s="1"/>
  <c r="H116" i="33" s="1"/>
  <c r="B9" i="34" l="1"/>
  <c r="B116" i="33"/>
  <c r="B117" i="33" s="1"/>
  <c r="H117" i="33" s="1"/>
  <c r="D21" i="18"/>
  <c r="D24" i="18" s="1"/>
  <c r="D25" i="18" s="1"/>
  <c r="D28" i="18" s="1"/>
  <c r="D99" i="18" s="1"/>
  <c r="D106" i="18" s="1"/>
  <c r="B72" i="18"/>
  <c r="B21" i="18"/>
  <c r="C21" i="18"/>
  <c r="C24" i="18" s="1"/>
  <c r="C25" i="18" s="1"/>
  <c r="C28" i="18" s="1"/>
  <c r="C99" i="18" s="1"/>
  <c r="C106" i="18" s="1"/>
  <c r="H96" i="33"/>
  <c r="B109" i="33"/>
  <c r="H109" i="33" s="1"/>
  <c r="H90" i="18"/>
  <c r="B91" i="18"/>
  <c r="B92" i="18"/>
  <c r="E57" i="18"/>
  <c r="H50" i="18"/>
  <c r="H57" i="18" l="1"/>
  <c r="B84" i="18" s="1"/>
  <c r="E103" i="18"/>
  <c r="B76" i="18"/>
  <c r="B77" i="18" s="1"/>
  <c r="B78" i="18" s="1"/>
  <c r="B75" i="18"/>
  <c r="D108" i="18"/>
  <c r="D9" i="24" s="1"/>
  <c r="D109" i="18"/>
  <c r="H92" i="18"/>
  <c r="B105" i="18"/>
  <c r="H105" i="18" s="1"/>
  <c r="C109" i="18"/>
  <c r="C108" i="18"/>
  <c r="C9" i="24" s="1"/>
  <c r="F91" i="18"/>
  <c r="D91" i="18"/>
  <c r="C91" i="18"/>
  <c r="E91" i="18"/>
  <c r="B24" i="18"/>
  <c r="H21" i="18"/>
  <c r="B10" i="34"/>
  <c r="B105" i="34"/>
  <c r="B20" i="34"/>
  <c r="H20" i="34" s="1"/>
  <c r="B97" i="34"/>
  <c r="H9" i="34"/>
  <c r="B79" i="34" s="1"/>
  <c r="C126" i="34"/>
  <c r="F60" i="34" s="1"/>
  <c r="F62" i="34" s="1"/>
  <c r="F110" i="34" s="1"/>
  <c r="F113" i="34" s="1"/>
  <c r="F115" i="34" s="1"/>
  <c r="C10" i="34"/>
  <c r="D10" i="34"/>
  <c r="C127" i="34"/>
  <c r="H97" i="34" l="1"/>
  <c r="B98" i="34"/>
  <c r="D23" i="34"/>
  <c r="D26" i="34" s="1"/>
  <c r="D27" i="34" s="1"/>
  <c r="D30" i="34" s="1"/>
  <c r="C23" i="34"/>
  <c r="C26" i="34" s="1"/>
  <c r="C27" i="34" s="1"/>
  <c r="B23" i="34"/>
  <c r="H24" i="18"/>
  <c r="B25" i="18"/>
  <c r="H105" i="34"/>
  <c r="B115" i="34"/>
  <c r="C99" i="24"/>
  <c r="C18" i="24"/>
  <c r="C91" i="24"/>
  <c r="H103" i="18"/>
  <c r="E106" i="18"/>
  <c r="E60" i="34"/>
  <c r="H52" i="34"/>
  <c r="B82" i="34"/>
  <c r="B83" i="34"/>
  <c r="B84" i="34" s="1"/>
  <c r="B85" i="34" s="1"/>
  <c r="D99" i="24"/>
  <c r="D91" i="24"/>
  <c r="D18" i="24"/>
  <c r="B28" i="18" l="1"/>
  <c r="H25" i="18"/>
  <c r="D106" i="34"/>
  <c r="H30" i="34"/>
  <c r="B87" i="34" s="1"/>
  <c r="B93" i="34" s="1"/>
  <c r="B94" i="34" s="1"/>
  <c r="B117" i="34"/>
  <c r="E108" i="18"/>
  <c r="E9" i="24" s="1"/>
  <c r="E109" i="18"/>
  <c r="E62" i="34"/>
  <c r="H60" i="34"/>
  <c r="H23" i="34"/>
  <c r="B26" i="34"/>
  <c r="F98" i="34"/>
  <c r="C98" i="34"/>
  <c r="D98" i="34"/>
  <c r="E98" i="34"/>
  <c r="G99" i="34" l="1"/>
  <c r="G112" i="34" s="1"/>
  <c r="B99" i="34"/>
  <c r="D99" i="34"/>
  <c r="D112" i="34" s="1"/>
  <c r="D117" i="34"/>
  <c r="C117" i="34"/>
  <c r="C119" i="34" s="1"/>
  <c r="C121" i="34" s="1"/>
  <c r="C99" i="34"/>
  <c r="C112" i="34" s="1"/>
  <c r="D113" i="34"/>
  <c r="D115" i="34" s="1"/>
  <c r="H106" i="34"/>
  <c r="H113" i="34" s="1"/>
  <c r="H115" i="34" s="1"/>
  <c r="H117" i="34"/>
  <c r="B119" i="34"/>
  <c r="B121" i="34" s="1"/>
  <c r="E99" i="24"/>
  <c r="E91" i="24"/>
  <c r="F99" i="34"/>
  <c r="F112" i="34" s="1"/>
  <c r="F117" i="34"/>
  <c r="F119" i="34" s="1"/>
  <c r="F121" i="34" s="1"/>
  <c r="H62" i="34"/>
  <c r="B91" i="34" s="1"/>
  <c r="E110" i="34"/>
  <c r="E99" i="34"/>
  <c r="E112" i="34" s="1"/>
  <c r="E117" i="34"/>
  <c r="B27" i="34"/>
  <c r="H27" i="34" s="1"/>
  <c r="H26" i="34"/>
  <c r="H28" i="18"/>
  <c r="B80" i="18" s="1"/>
  <c r="B86" i="18" s="1"/>
  <c r="B87" i="18" s="1"/>
  <c r="B99" i="18"/>
  <c r="D119" i="34" l="1"/>
  <c r="D121" i="34" s="1"/>
  <c r="E119" i="34"/>
  <c r="E121" i="34" s="1"/>
  <c r="H99" i="34"/>
  <c r="B112" i="34"/>
  <c r="H112" i="34" s="1"/>
  <c r="B106" i="18"/>
  <c r="H99" i="18"/>
  <c r="H106" i="18" s="1"/>
  <c r="E113" i="34"/>
  <c r="E115" i="34" s="1"/>
  <c r="H110" i="34"/>
  <c r="H119" i="34"/>
  <c r="H121" i="34" s="1"/>
  <c r="H108" i="18" l="1"/>
  <c r="H109" i="18"/>
  <c r="B109" i="18"/>
  <c r="B108" i="18"/>
  <c r="B9" i="24" s="1"/>
  <c r="B91" i="24" l="1"/>
  <c r="H9" i="24"/>
  <c r="B10" i="24"/>
  <c r="B18" i="24"/>
  <c r="H18" i="24" s="1"/>
  <c r="B99" i="24"/>
  <c r="H99" i="24" s="1"/>
  <c r="C117" i="24"/>
  <c r="F57" i="24" s="1"/>
  <c r="F104" i="24" s="1"/>
  <c r="D10" i="24"/>
  <c r="C10" i="24"/>
  <c r="C118" i="24"/>
  <c r="B21" i="24" l="1"/>
  <c r="D21" i="24"/>
  <c r="D24" i="24" s="1"/>
  <c r="D25" i="24" s="1"/>
  <c r="D28" i="24" s="1"/>
  <c r="D100" i="24" s="1"/>
  <c r="D107" i="24" s="1"/>
  <c r="C21" i="24"/>
  <c r="C24" i="24" s="1"/>
  <c r="C25" i="24" s="1"/>
  <c r="C28" i="24" s="1"/>
  <c r="C100" i="24" s="1"/>
  <c r="C107" i="24" s="1"/>
  <c r="B73" i="24"/>
  <c r="E57" i="24"/>
  <c r="H50" i="24"/>
  <c r="H91" i="24"/>
  <c r="F92" i="24" l="1"/>
  <c r="C92" i="24"/>
  <c r="D92" i="24"/>
  <c r="E92" i="24"/>
  <c r="B92" i="24"/>
  <c r="B76" i="24"/>
  <c r="B77" i="24"/>
  <c r="B78" i="24" s="1"/>
  <c r="B79" i="24" s="1"/>
  <c r="C111" i="24"/>
  <c r="C109" i="24"/>
  <c r="C9" i="25" s="1"/>
  <c r="D109" i="24"/>
  <c r="D9" i="25" s="1"/>
  <c r="D111" i="24"/>
  <c r="E104" i="24"/>
  <c r="H57" i="24"/>
  <c r="B85" i="24" s="1"/>
  <c r="B24" i="24"/>
  <c r="H21" i="24"/>
  <c r="E107" i="24" l="1"/>
  <c r="H104" i="24"/>
  <c r="H24" i="24"/>
  <c r="B25" i="24"/>
  <c r="D99" i="25"/>
  <c r="D18" i="25"/>
  <c r="D91" i="25"/>
  <c r="C91" i="25"/>
  <c r="C99" i="25"/>
  <c r="C18" i="25"/>
  <c r="B28" i="24" l="1"/>
  <c r="H25" i="24"/>
  <c r="E109" i="24"/>
  <c r="E9" i="25" s="1"/>
  <c r="E111" i="24"/>
  <c r="H28" i="24" l="1"/>
  <c r="B81" i="24" s="1"/>
  <c r="B87" i="24" s="1"/>
  <c r="B88" i="24" s="1"/>
  <c r="B100" i="24"/>
  <c r="E91" i="25"/>
  <c r="E99" i="25"/>
  <c r="H100" i="24" l="1"/>
  <c r="H107" i="24" s="1"/>
  <c r="H109" i="24" s="1"/>
  <c r="B107" i="24"/>
  <c r="G93" i="24"/>
  <c r="G106" i="24" s="1"/>
  <c r="D93" i="24"/>
  <c r="D106" i="24" s="1"/>
  <c r="B93" i="24"/>
  <c r="F93" i="24"/>
  <c r="F106" i="24" s="1"/>
  <c r="C93" i="24"/>
  <c r="C106" i="24" s="1"/>
  <c r="E93" i="24"/>
  <c r="E106" i="24" s="1"/>
  <c r="B109" i="24" l="1"/>
  <c r="B9" i="25" s="1"/>
  <c r="B111" i="24"/>
  <c r="B106" i="24"/>
  <c r="H106" i="24" s="1"/>
  <c r="H93" i="24"/>
  <c r="B91" i="25" l="1"/>
  <c r="H9" i="25"/>
  <c r="B99" i="25"/>
  <c r="H99" i="25" s="1"/>
  <c r="B18" i="25"/>
  <c r="H18" i="25" s="1"/>
  <c r="B10" i="25"/>
  <c r="C117" i="25"/>
  <c r="F57" i="25" s="1"/>
  <c r="F104" i="25" s="1"/>
  <c r="D10" i="25"/>
  <c r="C10" i="25"/>
  <c r="C118" i="25"/>
  <c r="B73" i="25" l="1"/>
  <c r="D21" i="25"/>
  <c r="D24" i="25" s="1"/>
  <c r="D25" i="25" s="1"/>
  <c r="D28" i="25" s="1"/>
  <c r="D100" i="25" s="1"/>
  <c r="D107" i="25" s="1"/>
  <c r="D109" i="25" s="1"/>
  <c r="C21" i="25"/>
  <c r="C24" i="25" s="1"/>
  <c r="C25" i="25" s="1"/>
  <c r="C28" i="25" s="1"/>
  <c r="C100" i="25" s="1"/>
  <c r="C107" i="25" s="1"/>
  <c r="C109" i="25" s="1"/>
  <c r="B21" i="25"/>
  <c r="E57" i="25"/>
  <c r="H50" i="25"/>
  <c r="H91" i="25"/>
  <c r="B92" i="25"/>
  <c r="C112" i="25" l="1"/>
  <c r="C110" i="11"/>
  <c r="C111" i="11" s="1"/>
  <c r="D112" i="25"/>
  <c r="D110" i="11"/>
  <c r="D111" i="11" s="1"/>
  <c r="B24" i="25"/>
  <c r="H21" i="25"/>
  <c r="F92" i="25"/>
  <c r="D92" i="25"/>
  <c r="C92" i="25"/>
  <c r="E92" i="25"/>
  <c r="E104" i="25"/>
  <c r="H57" i="25"/>
  <c r="B85" i="25" s="1"/>
  <c r="B77" i="25"/>
  <c r="B78" i="25" s="1"/>
  <c r="B76" i="25"/>
  <c r="H104" i="25" l="1"/>
  <c r="E107" i="25"/>
  <c r="E109" i="25" s="1"/>
  <c r="E112" i="25" s="1"/>
  <c r="B25" i="25"/>
  <c r="H24" i="25"/>
  <c r="H25" i="25" l="1"/>
  <c r="B28" i="25"/>
  <c r="E76" i="25"/>
  <c r="B79" i="25" s="1"/>
  <c r="J103" i="25"/>
  <c r="B100" i="25" l="1"/>
  <c r="H28" i="25"/>
  <c r="B81" i="25" s="1"/>
  <c r="B87" i="25" s="1"/>
  <c r="B88" i="25" s="1"/>
  <c r="G93" i="25" l="1"/>
  <c r="G106" i="25" s="1"/>
  <c r="B93" i="25"/>
  <c r="D93" i="25"/>
  <c r="D106" i="25" s="1"/>
  <c r="F93" i="25"/>
  <c r="F106" i="25" s="1"/>
  <c r="C93" i="25"/>
  <c r="C106" i="25" s="1"/>
  <c r="E93" i="25"/>
  <c r="E106" i="25" s="1"/>
  <c r="H100" i="25"/>
  <c r="H107" i="25" s="1"/>
  <c r="H109" i="25" s="1"/>
  <c r="B107" i="25"/>
  <c r="B109" i="25" s="1"/>
  <c r="B110" i="11" l="1"/>
  <c r="B111" i="11" s="1"/>
  <c r="B112" i="25"/>
  <c r="B106" i="25"/>
  <c r="H106" i="25" s="1"/>
  <c r="H93"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Kathy Blackwood</author>
    <author>Public</author>
    <author>Blackwood, Kathy</author>
  </authors>
  <commentList>
    <comment ref="J7" authorId="0" shapeId="0" xr:uid="{00000000-0006-0000-0100-000001000000}">
      <text>
        <r>
          <rPr>
            <b/>
            <sz val="8"/>
            <color indexed="81"/>
            <rFont val="Tahoma"/>
            <family val="2"/>
          </rPr>
          <t>Kathy Blackwood:</t>
        </r>
        <r>
          <rPr>
            <sz val="8"/>
            <color indexed="81"/>
            <rFont val="Tahoma"/>
            <family val="2"/>
          </rPr>
          <t xml:space="preserve">
Per P-1
</t>
        </r>
      </text>
    </comment>
    <comment ref="K7" authorId="0" shapeId="0" xr:uid="{00000000-0006-0000-0100-000002000000}">
      <text>
        <r>
          <rPr>
            <b/>
            <sz val="8"/>
            <color indexed="81"/>
            <rFont val="Tahoma"/>
            <family val="2"/>
          </rPr>
          <t>Kathy Blackwood:</t>
        </r>
        <r>
          <rPr>
            <sz val="8"/>
            <color indexed="81"/>
            <rFont val="Tahoma"/>
            <family val="2"/>
          </rPr>
          <t xml:space="preserve">
Per P-1
OK per Marilyn 3/11/08</t>
        </r>
      </text>
    </comment>
    <comment ref="L7" authorId="0" shapeId="0" xr:uid="{00000000-0006-0000-0100-000003000000}">
      <text>
        <r>
          <rPr>
            <b/>
            <sz val="8"/>
            <color indexed="81"/>
            <rFont val="Tahoma"/>
            <family val="2"/>
          </rPr>
          <t>Kathy Blackwood:</t>
        </r>
        <r>
          <rPr>
            <sz val="8"/>
            <color indexed="81"/>
            <rFont val="Tahoma"/>
            <family val="2"/>
          </rPr>
          <t xml:space="preserve">
Per P-1
</t>
        </r>
      </text>
    </comment>
    <comment ref="I12" authorId="1" shapeId="0" xr:uid="{00000000-0006-0000-0100-000004000000}">
      <text>
        <r>
          <rPr>
            <b/>
            <sz val="8"/>
            <color indexed="81"/>
            <rFont val="Tahoma"/>
            <family val="2"/>
          </rPr>
          <t>Public:</t>
        </r>
        <r>
          <rPr>
            <sz val="8"/>
            <color indexed="81"/>
            <rFont val="Tahoma"/>
            <family val="2"/>
          </rPr>
          <t xml:space="preserve">
Everyone but AFT and CSEA</t>
        </r>
      </text>
    </comment>
    <comment ref="J12" authorId="1" shapeId="0" xr:uid="{00000000-0006-0000-0100-000005000000}">
      <text>
        <r>
          <rPr>
            <b/>
            <sz val="8"/>
            <color indexed="81"/>
            <rFont val="Tahoma"/>
            <family val="2"/>
          </rPr>
          <t>Public:</t>
        </r>
        <r>
          <rPr>
            <sz val="8"/>
            <color indexed="81"/>
            <rFont val="Tahoma"/>
            <family val="2"/>
          </rPr>
          <t xml:space="preserve">
AFT and CSEA</t>
        </r>
      </text>
    </comment>
    <comment ref="J17" authorId="0" shapeId="0" xr:uid="{00000000-0006-0000-0100-000006000000}">
      <text>
        <r>
          <rPr>
            <b/>
            <sz val="8"/>
            <color indexed="81"/>
            <rFont val="Tahoma"/>
            <family val="2"/>
          </rPr>
          <t>Kathy Blackwood:</t>
        </r>
        <r>
          <rPr>
            <sz val="8"/>
            <color indexed="81"/>
            <rFont val="Tahoma"/>
            <family val="2"/>
          </rPr>
          <t xml:space="preserve">
per Mike 1/22/08</t>
        </r>
      </text>
    </comment>
    <comment ref="K17" authorId="0" shapeId="0" xr:uid="{00000000-0006-0000-0100-000007000000}">
      <text>
        <r>
          <rPr>
            <b/>
            <sz val="8"/>
            <color indexed="81"/>
            <rFont val="Tahoma"/>
            <family val="2"/>
          </rPr>
          <t>Kathy Blackwood:</t>
        </r>
        <r>
          <rPr>
            <sz val="8"/>
            <color indexed="81"/>
            <rFont val="Tahoma"/>
            <family val="2"/>
          </rPr>
          <t xml:space="preserve">
Per Marilyn 1/17/08 and 3/11/08</t>
        </r>
      </text>
    </comment>
    <comment ref="L17" authorId="0" shapeId="0" xr:uid="{00000000-0006-0000-0100-000008000000}">
      <text>
        <r>
          <rPr>
            <b/>
            <sz val="8"/>
            <color indexed="81"/>
            <rFont val="Tahoma"/>
            <family val="2"/>
          </rPr>
          <t>Kathy Blackwood:</t>
        </r>
        <r>
          <rPr>
            <sz val="8"/>
            <color indexed="81"/>
            <rFont val="Tahoma"/>
            <family val="2"/>
          </rPr>
          <t xml:space="preserve">
Per Eloisa 1/18/08</t>
        </r>
      </text>
    </comment>
    <comment ref="J33" authorId="0" shapeId="0" xr:uid="{00000000-0006-0000-0100-000009000000}">
      <text>
        <r>
          <rPr>
            <b/>
            <sz val="8"/>
            <color indexed="81"/>
            <rFont val="Tahoma"/>
            <family val="2"/>
          </rPr>
          <t>Kathy Blackwood:</t>
        </r>
        <r>
          <rPr>
            <sz val="8"/>
            <color indexed="81"/>
            <rFont val="Tahoma"/>
            <family val="2"/>
          </rPr>
          <t xml:space="preserve">
Based on 0%  growth over 08/09 funded plus 499 FTES that were shifted to 08/09 - essentially allowing us to grow the 499 FTES that were shifted.</t>
        </r>
      </text>
    </comment>
    <comment ref="I35" authorId="0" shapeId="0" xr:uid="{00000000-0006-0000-0100-00000A000000}">
      <text>
        <r>
          <rPr>
            <b/>
            <sz val="8"/>
            <color indexed="81"/>
            <rFont val="Tahoma"/>
            <family val="2"/>
          </rPr>
          <t>Kathy Blackwood:</t>
        </r>
        <r>
          <rPr>
            <sz val="8"/>
            <color indexed="81"/>
            <rFont val="Tahoma"/>
            <family val="2"/>
          </rPr>
          <t xml:space="preserve">
Per School Services' Jan 2009 dartboard</t>
        </r>
      </text>
    </comment>
    <comment ref="I36" authorId="0" shapeId="0" xr:uid="{00000000-0006-0000-0100-00000B000000}">
      <text>
        <r>
          <rPr>
            <b/>
            <sz val="8"/>
            <color indexed="81"/>
            <rFont val="Tahoma"/>
            <family val="2"/>
          </rPr>
          <t>Kathy Blackwood:</t>
        </r>
        <r>
          <rPr>
            <sz val="8"/>
            <color indexed="81"/>
            <rFont val="Tahoma"/>
            <family val="2"/>
          </rPr>
          <t xml:space="preserve">
Based on 3/20 published growth rates</t>
        </r>
      </text>
    </comment>
    <comment ref="I37" authorId="0" shapeId="0" xr:uid="{00000000-0006-0000-0100-00000C000000}">
      <text>
        <r>
          <rPr>
            <b/>
            <sz val="8"/>
            <color indexed="81"/>
            <rFont val="Tahoma"/>
            <family val="2"/>
          </rPr>
          <t>Kathy Blackwood:</t>
        </r>
        <r>
          <rPr>
            <sz val="8"/>
            <color indexed="81"/>
            <rFont val="Tahoma"/>
            <family val="2"/>
          </rPr>
          <t xml:space="preserve">
1.2% Per Scott Lay, 3/26/09
Guess 2% 5/27/09
Adjusted guess to 2.5% 8/05/09</t>
        </r>
      </text>
    </comment>
    <comment ref="I38" authorId="0" shapeId="0" xr:uid="{00000000-0006-0000-0100-00000D000000}">
      <text>
        <r>
          <rPr>
            <b/>
            <sz val="8"/>
            <color indexed="81"/>
            <rFont val="Tahoma"/>
            <family val="2"/>
          </rPr>
          <t>Kathy Blackwood:</t>
        </r>
        <r>
          <rPr>
            <sz val="8"/>
            <color indexed="81"/>
            <rFont val="Tahoma"/>
            <family val="2"/>
          </rPr>
          <t xml:space="preserve">
Per School Services' Mar 2009 dartboard</t>
        </r>
      </text>
    </comment>
    <comment ref="K41" authorId="0" shapeId="0" xr:uid="{00000000-0006-0000-0100-00000E000000}">
      <text>
        <r>
          <rPr>
            <b/>
            <sz val="8"/>
            <color indexed="81"/>
            <rFont val="Tahoma"/>
            <family val="2"/>
          </rPr>
          <t>Kathy Blackwood:</t>
        </r>
        <r>
          <rPr>
            <sz val="8"/>
            <color indexed="81"/>
            <rFont val="Tahoma"/>
            <family val="2"/>
          </rPr>
          <t xml:space="preserve">
3% salary &amp; 1% benefit cap</t>
        </r>
      </text>
    </comment>
    <comment ref="I51" authorId="0" shapeId="0" xr:uid="{00000000-0006-0000-0100-00000F000000}">
      <text/>
    </comment>
    <comment ref="I54" authorId="0" shapeId="0" xr:uid="{00000000-0006-0000-0100-000010000000}">
      <text>
        <r>
          <rPr>
            <b/>
            <sz val="8"/>
            <color indexed="81"/>
            <rFont val="Tahoma"/>
            <family val="2"/>
          </rPr>
          <t>Kathy Blackwood:</t>
        </r>
        <r>
          <rPr>
            <sz val="8"/>
            <color indexed="81"/>
            <rFont val="Tahoma"/>
            <family val="2"/>
          </rPr>
          <t xml:space="preserve">
Per School Services' Mar 2009 dartboard</t>
        </r>
      </text>
    </comment>
    <comment ref="I65" authorId="0" shapeId="0" xr:uid="{00000000-0006-0000-0100-000011000000}">
      <text>
        <r>
          <rPr>
            <b/>
            <sz val="8"/>
            <color indexed="81"/>
            <rFont val="Tahoma"/>
            <family val="2"/>
          </rPr>
          <t>Kathy Blackwood:</t>
        </r>
        <r>
          <rPr>
            <sz val="8"/>
            <color indexed="81"/>
            <rFont val="Tahoma"/>
            <family val="2"/>
          </rPr>
          <t xml:space="preserve">
2% Per School Services' Jan 2009 dartboard
1% Guess 5/27/09</t>
        </r>
      </text>
    </comment>
    <comment ref="I68" authorId="0" shapeId="0" xr:uid="{00000000-0006-0000-0100-000012000000}">
      <text>
        <r>
          <rPr>
            <b/>
            <sz val="8"/>
            <color indexed="81"/>
            <rFont val="Tahoma"/>
            <family val="2"/>
          </rPr>
          <t>Kathy Blackwood:</t>
        </r>
        <r>
          <rPr>
            <sz val="8"/>
            <color indexed="81"/>
            <rFont val="Tahoma"/>
            <family val="2"/>
          </rPr>
          <t xml:space="preserve">
Per School Services' Mar 2009 dartboard</t>
        </r>
      </text>
    </comment>
    <comment ref="I79" authorId="0" shapeId="0" xr:uid="{00000000-0006-0000-0100-000013000000}">
      <text>
        <r>
          <rPr>
            <b/>
            <sz val="8"/>
            <color indexed="81"/>
            <rFont val="Tahoma"/>
            <family val="2"/>
          </rPr>
          <t>Kathy Blackwood:</t>
        </r>
        <r>
          <rPr>
            <sz val="8"/>
            <color indexed="81"/>
            <rFont val="Tahoma"/>
            <family val="2"/>
          </rPr>
          <t xml:space="preserve">
Per School Services' Jan 2009 dartboard</t>
        </r>
      </text>
    </comment>
    <comment ref="I80" authorId="0" shapeId="0" xr:uid="{00000000-0006-0000-0100-000014000000}">
      <text>
        <r>
          <rPr>
            <b/>
            <sz val="9"/>
            <color indexed="81"/>
            <rFont val="Tahoma"/>
            <family val="2"/>
          </rPr>
          <t>Kathy Blackwood:</t>
        </r>
        <r>
          <rPr>
            <sz val="9"/>
            <color indexed="81"/>
            <rFont val="Tahoma"/>
            <family val="2"/>
          </rPr>
          <t xml:space="preserve">
Based on School Services</t>
        </r>
      </text>
    </comment>
    <comment ref="I102" authorId="2" shapeId="0" xr:uid="{00000000-0006-0000-0100-000015000000}">
      <text>
        <r>
          <rPr>
            <b/>
            <sz val="9"/>
            <color indexed="81"/>
            <rFont val="Tahoma"/>
            <family val="2"/>
          </rPr>
          <t>Blackwood, Kathy:</t>
        </r>
        <r>
          <rPr>
            <sz val="9"/>
            <color indexed="81"/>
            <rFont val="Tahoma"/>
            <family val="2"/>
          </rPr>
          <t xml:space="preserve">
Rolltracker is 6.31%
</t>
        </r>
      </text>
    </comment>
    <comment ref="J136" authorId="2" shapeId="0" xr:uid="{00000000-0006-0000-0100-000016000000}">
      <text>
        <r>
          <rPr>
            <b/>
            <sz val="9"/>
            <color indexed="81"/>
            <rFont val="Tahoma"/>
            <family val="2"/>
          </rPr>
          <t>Blackwood, Kathy:</t>
        </r>
        <r>
          <rPr>
            <sz val="9"/>
            <color indexed="81"/>
            <rFont val="Tahoma"/>
            <family val="2"/>
          </rPr>
          <t xml:space="preserve">
Per Sandra 7/19/2016</t>
        </r>
      </text>
    </comment>
    <comment ref="K136" authorId="2" shapeId="0" xr:uid="{00000000-0006-0000-0100-000017000000}">
      <text>
        <r>
          <rPr>
            <b/>
            <sz val="9"/>
            <color indexed="81"/>
            <rFont val="Tahoma"/>
            <family val="2"/>
          </rPr>
          <t>Blackwood, Kathy:</t>
        </r>
        <r>
          <rPr>
            <sz val="9"/>
            <color indexed="81"/>
            <rFont val="Tahoma"/>
            <family val="2"/>
          </rPr>
          <t xml:space="preserve">
Per Gregory 7/25/2016</t>
        </r>
      </text>
    </comment>
    <comment ref="L136" authorId="2" shapeId="0" xr:uid="{00000000-0006-0000-0100-000018000000}">
      <text>
        <r>
          <rPr>
            <b/>
            <sz val="9"/>
            <color indexed="81"/>
            <rFont val="Tahoma"/>
            <family val="2"/>
          </rPr>
          <t>Blackwood, Kathy:</t>
        </r>
        <r>
          <rPr>
            <sz val="9"/>
            <color indexed="81"/>
            <rFont val="Tahoma"/>
            <family val="2"/>
          </rPr>
          <t xml:space="preserve">
Per Eloisa 7/18/2016 7844 up from 7344 in 15/16</t>
        </r>
      </text>
    </comment>
    <comment ref="I153" authorId="2" shapeId="0" xr:uid="{00000000-0006-0000-0100-000019000000}">
      <text>
        <r>
          <rPr>
            <b/>
            <sz val="9"/>
            <color indexed="81"/>
            <rFont val="Tahoma"/>
            <family val="2"/>
          </rPr>
          <t>Blackwood, Kathy:</t>
        </r>
        <r>
          <rPr>
            <sz val="9"/>
            <color indexed="81"/>
            <rFont val="Tahoma"/>
            <family val="2"/>
          </rPr>
          <t xml:space="preserve">
School Services 17/18 Gov Jan Budget
</t>
        </r>
      </text>
    </comment>
    <comment ref="I156" authorId="2" shapeId="0" xr:uid="{00000000-0006-0000-0100-00001A000000}">
      <text>
        <r>
          <rPr>
            <b/>
            <sz val="9"/>
            <color indexed="81"/>
            <rFont val="Tahoma"/>
            <family val="2"/>
          </rPr>
          <t>Blackwood, Kathy:</t>
        </r>
        <r>
          <rPr>
            <sz val="9"/>
            <color indexed="81"/>
            <rFont val="Tahoma"/>
            <family val="2"/>
          </rPr>
          <t xml:space="preserve">
School Services 16/17 Adopted Budget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E71" authorId="0" shapeId="0" xr:uid="{00000000-0006-0000-0A00-000001000000}">
      <text>
        <r>
          <rPr>
            <b/>
            <sz val="9"/>
            <color indexed="81"/>
            <rFont val="Tahoma"/>
            <family val="2"/>
          </rPr>
          <t>Blackwood, Kathy:</t>
        </r>
        <r>
          <rPr>
            <sz val="9"/>
            <color indexed="81"/>
            <rFont val="Tahoma"/>
            <family val="2"/>
          </rPr>
          <t xml:space="preserve">
Add'l Foundation cost</t>
        </r>
      </text>
    </comment>
    <comment ref="C126" authorId="1" shapeId="0" xr:uid="{00000000-0006-0000-0A00-000002000000}">
      <text>
        <r>
          <rPr>
            <b/>
            <sz val="8"/>
            <color indexed="81"/>
            <rFont val="Tahoma"/>
            <family val="2"/>
          </rPr>
          <t>smcccd:</t>
        </r>
        <r>
          <rPr>
            <sz val="8"/>
            <color indexed="81"/>
            <rFont val="Tahoma"/>
            <family val="2"/>
          </rPr>
          <t xml:space="preserve">
at 1/2 of percentage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F69" authorId="0" shapeId="0" xr:uid="{00000000-0006-0000-0B00-000001000000}">
      <text>
        <r>
          <rPr>
            <b/>
            <sz val="9"/>
            <color indexed="81"/>
            <rFont val="Tahoma"/>
            <family val="2"/>
          </rPr>
          <t>Blackwood, Kathy:</t>
        </r>
        <r>
          <rPr>
            <sz val="9"/>
            <color indexed="81"/>
            <rFont val="Tahoma"/>
            <family val="2"/>
          </rPr>
          <t xml:space="preserve">
change in maintenance costs</t>
        </r>
      </text>
    </comment>
    <comment ref="C123" authorId="1" shapeId="0" xr:uid="{00000000-0006-0000-0B00-000002000000}">
      <text>
        <r>
          <rPr>
            <b/>
            <sz val="8"/>
            <color indexed="81"/>
            <rFont val="Tahoma"/>
            <family val="2"/>
          </rPr>
          <t>smcccd:</t>
        </r>
        <r>
          <rPr>
            <sz val="8"/>
            <color indexed="81"/>
            <rFont val="Tahoma"/>
            <family val="2"/>
          </rPr>
          <t xml:space="preserve">
at 1/2 of percentage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B71" authorId="0" shapeId="0" xr:uid="{00000000-0006-0000-0C00-000001000000}">
      <text>
        <r>
          <rPr>
            <b/>
            <sz val="9"/>
            <color indexed="81"/>
            <rFont val="Tahoma"/>
            <family val="2"/>
          </rPr>
          <t>Blackwood, Kathy:</t>
        </r>
        <r>
          <rPr>
            <sz val="9"/>
            <color indexed="81"/>
            <rFont val="Tahoma"/>
            <family val="2"/>
          </rPr>
          <t xml:space="preserve">
Car lease</t>
        </r>
      </text>
    </comment>
    <comment ref="C71" authorId="0" shapeId="0" xr:uid="{00000000-0006-0000-0C00-000002000000}">
      <text>
        <r>
          <rPr>
            <b/>
            <sz val="9"/>
            <color indexed="81"/>
            <rFont val="Tahoma"/>
            <family val="2"/>
          </rPr>
          <t>Blackwood, Kathy:</t>
        </r>
        <r>
          <rPr>
            <sz val="9"/>
            <color indexed="81"/>
            <rFont val="Tahoma"/>
            <family val="2"/>
          </rPr>
          <t xml:space="preserve">
Car lease</t>
        </r>
      </text>
    </comment>
    <comment ref="D71" authorId="0" shapeId="0" xr:uid="{00000000-0006-0000-0C00-000003000000}">
      <text>
        <r>
          <rPr>
            <b/>
            <sz val="9"/>
            <color indexed="81"/>
            <rFont val="Tahoma"/>
            <family val="2"/>
          </rPr>
          <t>Blackwood, Kathy:</t>
        </r>
        <r>
          <rPr>
            <sz val="9"/>
            <color indexed="81"/>
            <rFont val="Tahoma"/>
            <family val="2"/>
          </rPr>
          <t xml:space="preserve">
Fin Aid Reconciliation Specialist $95K
$4553 Car lease
</t>
        </r>
      </text>
    </comment>
    <comment ref="E71" authorId="0" shapeId="0" xr:uid="{00000000-0006-0000-0C00-000004000000}">
      <text>
        <r>
          <rPr>
            <b/>
            <sz val="9"/>
            <color indexed="81"/>
            <rFont val="Tahoma"/>
            <family val="2"/>
          </rPr>
          <t>Blackwood, Kathy:</t>
        </r>
        <r>
          <rPr>
            <sz val="9"/>
            <color indexed="81"/>
            <rFont val="Tahoma"/>
            <family val="2"/>
          </rPr>
          <t xml:space="preserve">
Indirect cost</t>
        </r>
      </text>
    </comment>
    <comment ref="F71" authorId="0" shapeId="0" xr:uid="{00000000-0006-0000-0C00-000005000000}">
      <text>
        <r>
          <rPr>
            <b/>
            <sz val="9"/>
            <color indexed="81"/>
            <rFont val="Tahoma"/>
            <family val="2"/>
          </rPr>
          <t>Blackwood, Kathy:</t>
        </r>
        <r>
          <rPr>
            <sz val="9"/>
            <color indexed="81"/>
            <rFont val="Tahoma"/>
            <family val="2"/>
          </rPr>
          <t xml:space="preserve">
$203133 for DMO</t>
        </r>
      </text>
    </comment>
    <comment ref="G71" authorId="0" shapeId="0" xr:uid="{00000000-0006-0000-0C00-000006000000}">
      <text>
        <r>
          <rPr>
            <b/>
            <sz val="9"/>
            <color indexed="81"/>
            <rFont val="Tahoma"/>
            <family val="2"/>
          </rPr>
          <t>Blackwood, Kathy:</t>
        </r>
        <r>
          <rPr>
            <sz val="9"/>
            <color indexed="81"/>
            <rFont val="Tahoma"/>
            <family val="2"/>
          </rPr>
          <t xml:space="preserve">
Car lease Sky &amp; CSM</t>
        </r>
      </text>
    </comment>
    <comment ref="E82" authorId="0" shapeId="0" xr:uid="{00000000-0006-0000-0C00-000007000000}">
      <text>
        <r>
          <rPr>
            <b/>
            <sz val="9"/>
            <color indexed="81"/>
            <rFont val="Tahoma"/>
            <family val="2"/>
          </rPr>
          <t>Blackwood, Kathy:</t>
        </r>
        <r>
          <rPr>
            <sz val="9"/>
            <color indexed="81"/>
            <rFont val="Tahoma"/>
            <family val="2"/>
          </rPr>
          <t xml:space="preserve">
This becomes one time funds that can't be allocated on an ongoing basis or we'll need to make cuts in future years.</t>
        </r>
      </text>
    </comment>
    <comment ref="C124" authorId="1" shapeId="0" xr:uid="{00000000-0006-0000-0C00-000008000000}">
      <text>
        <r>
          <rPr>
            <b/>
            <sz val="8"/>
            <color indexed="81"/>
            <rFont val="Tahoma"/>
            <family val="2"/>
          </rPr>
          <t>smcccd:</t>
        </r>
        <r>
          <rPr>
            <sz val="8"/>
            <color indexed="81"/>
            <rFont val="Tahoma"/>
            <family val="2"/>
          </rPr>
          <t xml:space="preserve">
at 1/2 of percentage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B69" authorId="0" shapeId="0" xr:uid="{00000000-0006-0000-0D00-000001000000}">
      <text>
        <r>
          <rPr>
            <b/>
            <sz val="9"/>
            <color indexed="81"/>
            <rFont val="Tahoma"/>
            <family val="2"/>
          </rPr>
          <t>Kathy Blackwood:</t>
        </r>
        <r>
          <rPr>
            <sz val="9"/>
            <color indexed="81"/>
            <rFont val="Tahoma"/>
            <family val="2"/>
          </rPr>
          <t xml:space="preserve">
Remove RDA funds; they were for 2 years only</t>
        </r>
      </text>
    </comment>
    <comment ref="C120" authorId="1" shapeId="0" xr:uid="{00000000-0006-0000-0D00-000002000000}">
      <text>
        <r>
          <rPr>
            <b/>
            <sz val="8"/>
            <color indexed="81"/>
            <rFont val="Tahoma"/>
            <family val="2"/>
          </rPr>
          <t>smcccd:</t>
        </r>
        <r>
          <rPr>
            <sz val="8"/>
            <color indexed="81"/>
            <rFont val="Tahoma"/>
            <family val="2"/>
          </rPr>
          <t xml:space="preserve">
at 1/2 of percentage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G64" authorId="0" shapeId="0" xr:uid="{00000000-0006-0000-0E00-000001000000}">
      <text>
        <r>
          <rPr>
            <b/>
            <sz val="9"/>
            <color indexed="81"/>
            <rFont val="Tahoma"/>
            <family val="2"/>
          </rPr>
          <t>Kathy Blackwood:</t>
        </r>
        <r>
          <rPr>
            <sz val="9"/>
            <color indexed="81"/>
            <rFont val="Tahoma"/>
            <family val="2"/>
          </rPr>
          <t xml:space="preserve">
Reduction in office hours needed</t>
        </r>
      </text>
    </comment>
    <comment ref="B65" authorId="0" shapeId="0" xr:uid="{00000000-0006-0000-0E00-000002000000}">
      <text>
        <r>
          <rPr>
            <b/>
            <sz val="9"/>
            <color indexed="81"/>
            <rFont val="Tahoma"/>
            <family val="2"/>
          </rPr>
          <t>Kathy Blackwood:</t>
        </r>
        <r>
          <rPr>
            <sz val="9"/>
            <color indexed="81"/>
            <rFont val="Tahoma"/>
            <family val="2"/>
          </rPr>
          <t xml:space="preserve">
Reducing alloc of RDA funds from $230K to $150K</t>
        </r>
      </text>
    </comment>
    <comment ref="E65" authorId="0" shapeId="0" xr:uid="{00000000-0006-0000-0E00-000003000000}">
      <text>
        <r>
          <rPr>
            <b/>
            <sz val="9"/>
            <color indexed="81"/>
            <rFont val="Tahoma"/>
            <family val="2"/>
          </rPr>
          <t>Kathy Blackwood:</t>
        </r>
        <r>
          <rPr>
            <sz val="9"/>
            <color indexed="81"/>
            <rFont val="Tahoma"/>
            <family val="2"/>
          </rPr>
          <t xml:space="preserve">
ITS Augmentation:
$234K for positions and $200K for supplies</t>
        </r>
      </text>
    </comment>
    <comment ref="F65" authorId="0" shapeId="0" xr:uid="{00000000-0006-0000-0E00-000004000000}">
      <text>
        <r>
          <rPr>
            <b/>
            <sz val="9"/>
            <color indexed="81"/>
            <rFont val="Tahoma"/>
            <family val="2"/>
          </rPr>
          <t>Kathy Blackwood:</t>
        </r>
        <r>
          <rPr>
            <sz val="9"/>
            <color indexed="81"/>
            <rFont val="Tahoma"/>
            <family val="2"/>
          </rPr>
          <t xml:space="preserve">
Change in maintenance contracts plus augmentation approved Feb. 2011</t>
        </r>
      </text>
    </comment>
    <comment ref="C117" authorId="1" shapeId="0" xr:uid="{00000000-0006-0000-0E00-000005000000}">
      <text>
        <r>
          <rPr>
            <b/>
            <sz val="8"/>
            <color indexed="81"/>
            <rFont val="Tahoma"/>
            <family val="2"/>
          </rPr>
          <t>smcccd:</t>
        </r>
        <r>
          <rPr>
            <sz val="8"/>
            <color indexed="81"/>
            <rFont val="Tahoma"/>
            <family val="2"/>
          </rPr>
          <t xml:space="preserve">
at 1/2 of percentage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B65" authorId="0" shapeId="0" xr:uid="{00000000-0006-0000-0F00-000001000000}">
      <text>
        <r>
          <rPr>
            <b/>
            <sz val="8"/>
            <color indexed="81"/>
            <rFont val="Tahoma"/>
            <family val="2"/>
          </rPr>
          <t>Redevelopment funds</t>
        </r>
      </text>
    </comment>
    <comment ref="E65" authorId="0" shapeId="0" xr:uid="{00000000-0006-0000-0F00-000002000000}">
      <text>
        <r>
          <rPr>
            <b/>
            <sz val="9"/>
            <color indexed="81"/>
            <rFont val="Tahoma"/>
            <family val="2"/>
          </rPr>
          <t>Kathy Blackwood:</t>
        </r>
        <r>
          <rPr>
            <sz val="9"/>
            <color indexed="81"/>
            <rFont val="Tahoma"/>
            <family val="2"/>
          </rPr>
          <t xml:space="preserve">
RDA funds for Barbara Christensen</t>
        </r>
      </text>
    </comment>
    <comment ref="F65" authorId="0" shapeId="0" xr:uid="{00000000-0006-0000-0F00-000003000000}">
      <text>
        <r>
          <rPr>
            <b/>
            <sz val="9"/>
            <color indexed="81"/>
            <rFont val="Tahoma"/>
            <family val="2"/>
          </rPr>
          <t>Kathy Blackwood:</t>
        </r>
        <r>
          <rPr>
            <sz val="9"/>
            <color indexed="81"/>
            <rFont val="Tahoma"/>
            <family val="2"/>
          </rPr>
          <t xml:space="preserve">
Change in Maintenance contracts</t>
        </r>
      </text>
    </comment>
    <comment ref="E93" authorId="0" shapeId="0" xr:uid="{00000000-0006-0000-0F00-000004000000}">
      <text>
        <r>
          <rPr>
            <b/>
            <sz val="8"/>
            <color indexed="81"/>
            <rFont val="Tahoma"/>
            <family val="2"/>
          </rPr>
          <t>Kathy Blackwood:</t>
        </r>
        <r>
          <rPr>
            <sz val="8"/>
            <color indexed="81"/>
            <rFont val="Tahoma"/>
            <family val="2"/>
          </rPr>
          <t xml:space="preserve">
includes foundation 10% cut</t>
        </r>
      </text>
    </comment>
    <comment ref="C117" authorId="1" shapeId="0" xr:uid="{00000000-0006-0000-0F00-000005000000}">
      <text>
        <r>
          <rPr>
            <b/>
            <sz val="8"/>
            <color indexed="81"/>
            <rFont val="Tahoma"/>
            <family val="2"/>
          </rPr>
          <t>smcccd:</t>
        </r>
        <r>
          <rPr>
            <sz val="8"/>
            <color indexed="81"/>
            <rFont val="Tahoma"/>
            <family val="2"/>
          </rPr>
          <t xml:space="preserve">
at 1/2 of percentage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G63" authorId="0" shapeId="0" xr:uid="{00000000-0006-0000-1000-000001000000}">
      <text>
        <r>
          <rPr>
            <b/>
            <sz val="8"/>
            <color indexed="81"/>
            <rFont val="Tahoma"/>
            <family val="2"/>
          </rPr>
          <t>Kathy Blackwood:</t>
        </r>
        <r>
          <rPr>
            <sz val="8"/>
            <color indexed="81"/>
            <rFont val="Tahoma"/>
            <family val="2"/>
          </rPr>
          <t xml:space="preserve">
Includes office hours and CSEA salary study</t>
        </r>
      </text>
    </comment>
    <comment ref="G65" authorId="0" shapeId="0" xr:uid="{00000000-0006-0000-1000-000002000000}">
      <text>
        <r>
          <rPr>
            <b/>
            <sz val="8"/>
            <color indexed="81"/>
            <rFont val="Tahoma"/>
            <family val="2"/>
          </rPr>
          <t>Kathy Blackwood:</t>
        </r>
        <r>
          <rPr>
            <sz val="8"/>
            <color indexed="81"/>
            <rFont val="Tahoma"/>
            <family val="2"/>
          </rPr>
          <t xml:space="preserve">
transfer for parking funding</t>
        </r>
      </text>
    </comment>
    <comment ref="B92" authorId="0" shapeId="0" xr:uid="{00000000-0006-0000-1000-000003000000}">
      <text>
        <r>
          <rPr>
            <b/>
            <sz val="8"/>
            <color indexed="81"/>
            <rFont val="Tahoma"/>
            <family val="2"/>
          </rPr>
          <t>Kathy Blackwood:</t>
        </r>
        <r>
          <rPr>
            <sz val="8"/>
            <color indexed="81"/>
            <rFont val="Tahoma"/>
            <family val="2"/>
          </rPr>
          <t xml:space="preserve">
10% of 08/09 Allocation</t>
        </r>
      </text>
    </comment>
    <comment ref="C116" authorId="1" shapeId="0" xr:uid="{00000000-0006-0000-1000-000004000000}">
      <text>
        <r>
          <rPr>
            <b/>
            <sz val="8"/>
            <color indexed="81"/>
            <rFont val="Tahoma"/>
            <family val="2"/>
          </rPr>
          <t>smcccd:</t>
        </r>
        <r>
          <rPr>
            <sz val="8"/>
            <color indexed="81"/>
            <rFont val="Tahoma"/>
            <family val="2"/>
          </rPr>
          <t xml:space="preserve">
at 1/2 of percentage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Kathy Blackwood</author>
    <author>smcccd</author>
  </authors>
  <commentList>
    <comment ref="B9" authorId="0" shapeId="0" xr:uid="{00000000-0006-0000-1100-000001000000}">
      <text>
        <r>
          <rPr>
            <b/>
            <sz val="8"/>
            <color indexed="81"/>
            <rFont val="Tahoma"/>
            <family val="2"/>
          </rPr>
          <t>Kathy Blackwood:</t>
        </r>
        <r>
          <rPr>
            <sz val="8"/>
            <color indexed="81"/>
            <rFont val="Tahoma"/>
            <family val="2"/>
          </rPr>
          <t xml:space="preserve">
Allocated $102000 of 07/08 growth funds to Skyline</t>
        </r>
      </text>
    </comment>
    <comment ref="G9" authorId="0" shapeId="0" xr:uid="{00000000-0006-0000-1100-000002000000}">
      <text>
        <r>
          <rPr>
            <b/>
            <sz val="8"/>
            <color indexed="81"/>
            <rFont val="Tahoma"/>
            <family val="2"/>
          </rPr>
          <t>Kathy Blackwood:</t>
        </r>
        <r>
          <rPr>
            <sz val="8"/>
            <color indexed="81"/>
            <rFont val="Tahoma"/>
            <family val="2"/>
          </rPr>
          <t xml:space="preserve">
Deducted $102000 of unallocated growth funds which went to Skyline</t>
        </r>
      </text>
    </comment>
    <comment ref="E65" authorId="0" shapeId="0" xr:uid="{00000000-0006-0000-1100-000003000000}">
      <text>
        <r>
          <rPr>
            <b/>
            <sz val="8"/>
            <color indexed="81"/>
            <rFont val="Tahoma"/>
            <family val="2"/>
          </rPr>
          <t>Kathy Blackwood:</t>
        </r>
        <r>
          <rPr>
            <sz val="8"/>
            <color indexed="81"/>
            <rFont val="Tahoma"/>
            <family val="2"/>
          </rPr>
          <t xml:space="preserve">
Web Tech position for ITS</t>
        </r>
      </text>
    </comment>
    <comment ref="G65" authorId="0" shapeId="0" xr:uid="{00000000-0006-0000-1100-000004000000}">
      <text>
        <r>
          <rPr>
            <b/>
            <sz val="8"/>
            <color indexed="81"/>
            <rFont val="Tahoma"/>
            <family val="2"/>
          </rPr>
          <t>Kathy Blackwood:</t>
        </r>
        <r>
          <rPr>
            <sz val="8"/>
            <color indexed="81"/>
            <rFont val="Tahoma"/>
            <family val="2"/>
          </rPr>
          <t xml:space="preserve">
Holding "surplus" until stat budget is passed</t>
        </r>
      </text>
    </comment>
    <comment ref="C116" authorId="1" shapeId="0" xr:uid="{00000000-0006-0000-1100-000005000000}">
      <text>
        <r>
          <rPr>
            <b/>
            <sz val="8"/>
            <color indexed="81"/>
            <rFont val="Tahoma"/>
            <family val="2"/>
          </rPr>
          <t>smcccd:</t>
        </r>
        <r>
          <rPr>
            <sz val="8"/>
            <color indexed="81"/>
            <rFont val="Tahoma"/>
            <family val="2"/>
          </rPr>
          <t xml:space="preserve">
at 1/2 of percentage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blackwoodk</author>
    <author>smcccd</author>
  </authors>
  <commentList>
    <comment ref="A59" authorId="0" shapeId="0" xr:uid="{00000000-0006-0000-1200-000001000000}">
      <text>
        <r>
          <rPr>
            <b/>
            <sz val="8"/>
            <color indexed="81"/>
            <rFont val="Tahoma"/>
            <family val="2"/>
          </rPr>
          <t>blackwoodk:</t>
        </r>
        <r>
          <rPr>
            <sz val="8"/>
            <color indexed="81"/>
            <rFont val="Tahoma"/>
            <family val="2"/>
          </rPr>
          <t xml:space="preserve">
deducted $6,770, to take out one time effects of borrowing</t>
        </r>
      </text>
    </comment>
    <comment ref="B64" authorId="0" shapeId="0" xr:uid="{00000000-0006-0000-1200-000002000000}">
      <text>
        <r>
          <rPr>
            <b/>
            <sz val="8"/>
            <color indexed="81"/>
            <rFont val="Tahoma"/>
            <family val="2"/>
          </rPr>
          <t>blackwoodk:</t>
        </r>
        <r>
          <rPr>
            <sz val="8"/>
            <color indexed="81"/>
            <rFont val="Tahoma"/>
            <family val="2"/>
          </rPr>
          <t xml:space="preserve">
Includes 05/06 and 06/07 AFT COLA allocation and 3% 07/08 COLA and 07/08 AFT .92% step increase</t>
        </r>
      </text>
    </comment>
    <comment ref="B78" authorId="0" shapeId="0" xr:uid="{00000000-0006-0000-1200-000003000000}">
      <text>
        <r>
          <rPr>
            <b/>
            <sz val="8"/>
            <color indexed="81"/>
            <rFont val="Tahoma"/>
            <family val="2"/>
          </rPr>
          <t>blackwoodk:</t>
        </r>
        <r>
          <rPr>
            <sz val="8"/>
            <color indexed="81"/>
            <rFont val="Tahoma"/>
            <family val="2"/>
          </rPr>
          <t xml:space="preserve">
Adjusted so allocation remains same as without shifting</t>
        </r>
      </text>
    </comment>
    <comment ref="C116" authorId="1" shapeId="0" xr:uid="{00000000-0006-0000-1200-000004000000}">
      <text>
        <r>
          <rPr>
            <b/>
            <sz val="8"/>
            <color indexed="81"/>
            <rFont val="Tahoma"/>
            <family val="2"/>
          </rPr>
          <t>smcccd:</t>
        </r>
        <r>
          <rPr>
            <sz val="8"/>
            <color indexed="81"/>
            <rFont val="Tahoma"/>
            <family val="2"/>
          </rPr>
          <t xml:space="preserve">
at 1/2 of percentage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Kathy Blackwood</author>
    <author>blackwoodk</author>
    <author>Blackwood, Kathy</author>
  </authors>
  <commentList>
    <comment ref="J4" authorId="0" shapeId="0" xr:uid="{00000000-0006-0000-1300-000001000000}">
      <text>
        <r>
          <rPr>
            <b/>
            <sz val="9"/>
            <color indexed="81"/>
            <rFont val="Tahoma"/>
            <family val="2"/>
          </rPr>
          <t>Kathy Blackwood:</t>
        </r>
        <r>
          <rPr>
            <sz val="9"/>
            <color indexed="81"/>
            <rFont val="Tahoma"/>
            <family val="2"/>
          </rPr>
          <t xml:space="preserve">
Based on P-A</t>
        </r>
      </text>
    </comment>
    <comment ref="F7" authorId="0" shapeId="0" xr:uid="{00000000-0006-0000-1300-000002000000}">
      <text>
        <r>
          <rPr>
            <b/>
            <sz val="8"/>
            <color indexed="81"/>
            <rFont val="Tahoma"/>
            <family val="2"/>
          </rPr>
          <t>Kathy Blackwood:</t>
        </r>
        <r>
          <rPr>
            <sz val="8"/>
            <color indexed="81"/>
            <rFont val="Tahoma"/>
            <family val="2"/>
          </rPr>
          <t xml:space="preserve">
If reported is higher than funded, we will be overcap.</t>
        </r>
      </text>
    </comment>
    <comment ref="G7" authorId="0" shapeId="0" xr:uid="{00000000-0006-0000-1300-000003000000}">
      <text>
        <r>
          <rPr>
            <b/>
            <sz val="8"/>
            <color indexed="81"/>
            <rFont val="Tahoma"/>
            <family val="2"/>
          </rPr>
          <t>Kathy Blackwood:</t>
        </r>
        <r>
          <rPr>
            <sz val="8"/>
            <color indexed="81"/>
            <rFont val="Tahoma"/>
            <family val="2"/>
          </rPr>
          <t xml:space="preserve">
workload reduced by 4% to match funding reduction</t>
        </r>
      </text>
    </comment>
    <comment ref="H7" authorId="0" shapeId="0" xr:uid="{00000000-0006-0000-1300-000004000000}">
      <text>
        <r>
          <rPr>
            <b/>
            <sz val="8"/>
            <color indexed="81"/>
            <rFont val="Tahoma"/>
            <family val="2"/>
          </rPr>
          <t>Kathy Blackwood:</t>
        </r>
        <r>
          <rPr>
            <sz val="8"/>
            <color indexed="81"/>
            <rFont val="Tahoma"/>
            <family val="2"/>
          </rPr>
          <t xml:space="preserve">
Funded at P-2. If reported is higher than funded, we will be overcap.</t>
        </r>
      </text>
    </comment>
    <comment ref="B22" authorId="1" shapeId="0" xr:uid="{00000000-0006-0000-1300-000005000000}">
      <text>
        <r>
          <rPr>
            <b/>
            <sz val="8"/>
            <color indexed="81"/>
            <rFont val="Tahoma"/>
            <family val="2"/>
          </rPr>
          <t>blackwoodk:</t>
        </r>
        <r>
          <rPr>
            <sz val="8"/>
            <color indexed="81"/>
            <rFont val="Tahoma"/>
            <family val="2"/>
          </rPr>
          <t xml:space="preserve">
Matches P-2 total</t>
        </r>
      </text>
    </comment>
    <comment ref="G61" authorId="0" shapeId="0" xr:uid="{00000000-0006-0000-1300-000006000000}">
      <text>
        <r>
          <rPr>
            <b/>
            <sz val="8"/>
            <color indexed="81"/>
            <rFont val="Tahoma"/>
            <family val="2"/>
          </rPr>
          <t>Kathy Blackwood:</t>
        </r>
        <r>
          <rPr>
            <sz val="8"/>
            <color indexed="81"/>
            <rFont val="Tahoma"/>
            <family val="2"/>
          </rPr>
          <t xml:space="preserve">
Per Terry Flinn 6/1/09 0%, per Assessor's web site 2/16/10 .7%</t>
        </r>
      </text>
    </comment>
    <comment ref="H61" authorId="0" shapeId="0" xr:uid="{00000000-0006-0000-1300-000007000000}">
      <text>
        <r>
          <rPr>
            <b/>
            <sz val="8"/>
            <color indexed="81"/>
            <rFont val="Tahoma"/>
            <family val="2"/>
          </rPr>
          <t>Kathy Blackwood:</t>
        </r>
        <r>
          <rPr>
            <sz val="8"/>
            <color indexed="81"/>
            <rFont val="Tahoma"/>
            <family val="2"/>
          </rPr>
          <t xml:space="preserve">
Per Terry Flinn 6/1/09</t>
        </r>
      </text>
    </comment>
    <comment ref="I61" authorId="0" shapeId="0" xr:uid="{00000000-0006-0000-1300-000008000000}">
      <text>
        <r>
          <rPr>
            <b/>
            <sz val="9"/>
            <color indexed="81"/>
            <rFont val="Tahoma"/>
            <family val="2"/>
          </rPr>
          <t>Kathy Blackwood:</t>
        </r>
        <r>
          <rPr>
            <sz val="9"/>
            <color indexed="81"/>
            <rFont val="Tahoma"/>
            <family val="2"/>
          </rPr>
          <t xml:space="preserve">
Per Terry Flinn 2/15/11</t>
        </r>
      </text>
    </comment>
    <comment ref="J61" authorId="0" shapeId="0" xr:uid="{00000000-0006-0000-1300-000009000000}">
      <text>
        <r>
          <rPr>
            <b/>
            <sz val="9"/>
            <color indexed="81"/>
            <rFont val="Tahoma"/>
            <family val="2"/>
          </rPr>
          <t>Kathy Blackwood:</t>
        </r>
        <r>
          <rPr>
            <sz val="9"/>
            <color indexed="81"/>
            <rFont val="Tahoma"/>
            <family val="2"/>
          </rPr>
          <t xml:space="preserve">
12/13 actual based on county assessor's office press release</t>
        </r>
      </text>
    </comment>
    <comment ref="K61" authorId="2" shapeId="0" xr:uid="{00000000-0006-0000-1300-00000A000000}">
      <text>
        <r>
          <rPr>
            <b/>
            <sz val="9"/>
            <color indexed="81"/>
            <rFont val="Tahoma"/>
            <family val="2"/>
          </rPr>
          <t>Blackwood, Kathy:</t>
        </r>
        <r>
          <rPr>
            <sz val="9"/>
            <color indexed="81"/>
            <rFont val="Tahoma"/>
            <family val="2"/>
          </rPr>
          <t xml:space="preserve">
Rolltracker is 6.31%
</t>
        </r>
      </text>
    </comment>
    <comment ref="L61" authorId="2" shapeId="0" xr:uid="{00000000-0006-0000-1300-00000B000000}">
      <text>
        <r>
          <rPr>
            <b/>
            <sz val="9"/>
            <color indexed="81"/>
            <rFont val="Tahoma"/>
            <family val="2"/>
          </rPr>
          <t>Blackwood, Kathy:</t>
        </r>
        <r>
          <rPr>
            <sz val="9"/>
            <color indexed="81"/>
            <rFont val="Tahoma"/>
            <family val="2"/>
          </rPr>
          <t xml:space="preserve">
Budgeted 5.81%</t>
        </r>
      </text>
    </comment>
    <comment ref="G62" authorId="0" shapeId="0" xr:uid="{00000000-0006-0000-1300-00000C000000}">
      <text>
        <r>
          <rPr>
            <b/>
            <sz val="8"/>
            <color indexed="81"/>
            <rFont val="Tahoma"/>
            <family val="2"/>
          </rPr>
          <t>Kathy Blackwood:</t>
        </r>
        <r>
          <rPr>
            <sz val="8"/>
            <color indexed="81"/>
            <rFont val="Tahoma"/>
            <family val="2"/>
          </rPr>
          <t xml:space="preserve">
Per Shirley Nov 2010</t>
        </r>
      </text>
    </comment>
    <comment ref="H62" authorId="0" shapeId="0" xr:uid="{00000000-0006-0000-1300-00000D000000}">
      <text>
        <r>
          <rPr>
            <b/>
            <sz val="9"/>
            <color indexed="81"/>
            <rFont val="Tahoma"/>
            <family val="2"/>
          </rPr>
          <t>Kathy Blackwood:</t>
        </r>
        <r>
          <rPr>
            <sz val="9"/>
            <color indexed="81"/>
            <rFont val="Tahoma"/>
            <family val="2"/>
          </rPr>
          <t xml:space="preserve">
Per Shirley Nov 2010
</t>
        </r>
      </text>
    </comment>
    <comment ref="I62" authorId="0" shapeId="0" xr:uid="{00000000-0006-0000-1300-00000E000000}">
      <text>
        <r>
          <rPr>
            <b/>
            <sz val="9"/>
            <color indexed="81"/>
            <rFont val="Tahoma"/>
            <family val="2"/>
          </rPr>
          <t>Kathy Blackwood:</t>
        </r>
        <r>
          <rPr>
            <sz val="9"/>
            <color indexed="81"/>
            <rFont val="Tahoma"/>
            <family val="2"/>
          </rPr>
          <t xml:space="preserve">
P-A tax report
</t>
        </r>
      </text>
    </comment>
    <comment ref="J62" authorId="0" shapeId="0" xr:uid="{00000000-0006-0000-1300-00000F000000}">
      <text>
        <r>
          <rPr>
            <sz val="9"/>
            <color indexed="81"/>
            <rFont val="Tahoma"/>
            <family val="2"/>
          </rPr>
          <t xml:space="preserve">As of 7/11/13
</t>
        </r>
      </text>
    </comment>
    <comment ref="G63" authorId="0" shapeId="0" xr:uid="{00000000-0006-0000-1300-000010000000}">
      <text>
        <r>
          <rPr>
            <b/>
            <sz val="8"/>
            <color indexed="81"/>
            <rFont val="Tahoma"/>
            <family val="2"/>
          </rPr>
          <t>Kathy Blackwood
Actual</t>
        </r>
      </text>
    </comment>
    <comment ref="H63" authorId="0" shapeId="0" xr:uid="{00000000-0006-0000-1300-000011000000}">
      <text>
        <r>
          <rPr>
            <b/>
            <sz val="9"/>
            <color indexed="81"/>
            <rFont val="Tahoma"/>
            <family val="2"/>
          </rPr>
          <t>Kathy Blackwood:</t>
        </r>
        <r>
          <rPr>
            <sz val="9"/>
            <color indexed="81"/>
            <rFont val="Tahoma"/>
            <family val="2"/>
          </rPr>
          <t xml:space="preserve">
Actual</t>
        </r>
      </text>
    </comment>
    <comment ref="I63" authorId="0" shapeId="0" xr:uid="{00000000-0006-0000-1300-000012000000}">
      <text>
        <r>
          <rPr>
            <b/>
            <sz val="9"/>
            <color indexed="81"/>
            <rFont val="Tahoma"/>
            <family val="2"/>
          </rPr>
          <t>Kathy Blackwood:</t>
        </r>
        <r>
          <rPr>
            <sz val="9"/>
            <color indexed="81"/>
            <rFont val="Tahoma"/>
            <family val="2"/>
          </rPr>
          <t xml:space="preserve">
Per Mercedes' worksheet
</t>
        </r>
      </text>
    </comment>
    <comment ref="N64" authorId="2" shapeId="0" xr:uid="{00000000-0006-0000-1300-000013000000}">
      <text>
        <r>
          <rPr>
            <b/>
            <sz val="9"/>
            <color indexed="81"/>
            <rFont val="Tahoma"/>
            <family val="2"/>
          </rPr>
          <t>Blackwood, Kathy:</t>
        </r>
        <r>
          <rPr>
            <sz val="9"/>
            <color indexed="81"/>
            <rFont val="Tahoma"/>
            <family val="2"/>
          </rPr>
          <t xml:space="preserve">
$710K increase due to debt payoff per Barbara
</t>
        </r>
      </text>
    </comment>
    <comment ref="O64" authorId="2" shapeId="0" xr:uid="{00000000-0006-0000-1300-000014000000}">
      <text>
        <r>
          <rPr>
            <b/>
            <sz val="9"/>
            <color indexed="81"/>
            <rFont val="Tahoma"/>
            <family val="2"/>
          </rPr>
          <t>Blackwood, Kathy:</t>
        </r>
        <r>
          <rPr>
            <sz val="9"/>
            <color indexed="81"/>
            <rFont val="Tahoma"/>
            <family val="2"/>
          </rPr>
          <t xml:space="preserve">
$710K increase due to debt payoff per Barbara
</t>
        </r>
      </text>
    </comment>
    <comment ref="I65" authorId="0" shapeId="0" xr:uid="{00000000-0006-0000-1300-000015000000}">
      <text>
        <r>
          <rPr>
            <b/>
            <sz val="9"/>
            <color indexed="81"/>
            <rFont val="Tahoma"/>
            <family val="2"/>
          </rPr>
          <t>Kathy Blackwood:</t>
        </r>
        <r>
          <rPr>
            <sz val="9"/>
            <color indexed="81"/>
            <rFont val="Tahoma"/>
            <family val="2"/>
          </rPr>
          <t xml:space="preserve">
7/23/12</t>
        </r>
      </text>
    </comment>
    <comment ref="J65" authorId="0" shapeId="0" xr:uid="{00000000-0006-0000-1300-000016000000}">
      <text>
        <r>
          <rPr>
            <b/>
            <sz val="9"/>
            <color indexed="81"/>
            <rFont val="Tahoma"/>
            <family val="2"/>
          </rPr>
          <t>Kathy Blackwood:</t>
        </r>
        <r>
          <rPr>
            <sz val="9"/>
            <color indexed="81"/>
            <rFont val="Tahoma"/>
            <family val="2"/>
          </rPr>
          <t xml:space="preserve">
Actual As of 7/11/13 (98%)</t>
        </r>
      </text>
    </comment>
    <comment ref="M65" authorId="2" shapeId="0" xr:uid="{00000000-0006-0000-1300-000017000000}">
      <text>
        <r>
          <rPr>
            <b/>
            <sz val="9"/>
            <color indexed="81"/>
            <rFont val="Tahoma"/>
            <family val="2"/>
          </rPr>
          <t>Blackwood, Kathy:</t>
        </r>
        <r>
          <rPr>
            <sz val="9"/>
            <color indexed="81"/>
            <rFont val="Tahoma"/>
            <family val="2"/>
          </rPr>
          <t xml:space="preserve">
Actual fees net of BOG awards but not net of bad debt</t>
        </r>
      </text>
    </comment>
    <comment ref="N65" authorId="2" shapeId="0" xr:uid="{00000000-0006-0000-1300-000018000000}">
      <text>
        <r>
          <rPr>
            <b/>
            <sz val="9"/>
            <color indexed="81"/>
            <rFont val="Tahoma"/>
            <family val="2"/>
          </rPr>
          <t>Blackwood, Kathy:</t>
        </r>
        <r>
          <rPr>
            <sz val="9"/>
            <color indexed="81"/>
            <rFont val="Tahoma"/>
            <family val="2"/>
          </rPr>
          <t xml:space="preserve">
8/10/17</t>
        </r>
      </text>
    </comment>
    <comment ref="H75" authorId="0" shapeId="0" xr:uid="{00000000-0006-0000-1300-000019000000}">
      <text>
        <r>
          <rPr>
            <b/>
            <sz val="9"/>
            <color indexed="81"/>
            <rFont val="Tahoma"/>
            <family val="2"/>
          </rPr>
          <t>Kathy Blackwood:</t>
        </r>
        <r>
          <rPr>
            <sz val="9"/>
            <color indexed="81"/>
            <rFont val="Tahoma"/>
            <family val="2"/>
          </rPr>
          <t xml:space="preserve">
As of P-2</t>
        </r>
      </text>
    </comment>
    <comment ref="I75" authorId="0" shapeId="0" xr:uid="{00000000-0006-0000-1300-00001A000000}">
      <text>
        <r>
          <rPr>
            <b/>
            <sz val="9"/>
            <color indexed="81"/>
            <rFont val="Tahoma"/>
            <family val="2"/>
          </rPr>
          <t>Kathy Blackwood:</t>
        </r>
        <r>
          <rPr>
            <sz val="9"/>
            <color indexed="81"/>
            <rFont val="Tahoma"/>
            <family val="2"/>
          </rPr>
          <t xml:space="preserve">
P-1 tax report</t>
        </r>
      </text>
    </comment>
    <comment ref="J83" authorId="2" shapeId="0" xr:uid="{00000000-0006-0000-1300-00001B000000}">
      <text>
        <r>
          <rPr>
            <b/>
            <sz val="9"/>
            <color indexed="81"/>
            <rFont val="Tahoma"/>
            <family val="2"/>
          </rPr>
          <t>Blackwood, Kathy:</t>
        </r>
        <r>
          <rPr>
            <sz val="9"/>
            <color indexed="81"/>
            <rFont val="Tahoma"/>
            <family val="2"/>
          </rPr>
          <t xml:space="preserve">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blackwoodk</author>
    <author>Kathy Blackwood</author>
    <author>Blackwood, Kathy</author>
  </authors>
  <commentList>
    <comment ref="C30" authorId="0" shapeId="0" xr:uid="{00000000-0006-0000-0200-000001000000}">
      <text>
        <r>
          <rPr>
            <b/>
            <sz val="8"/>
            <color indexed="81"/>
            <rFont val="Tahoma"/>
            <family val="2"/>
          </rPr>
          <t>blackwoodk:</t>
        </r>
        <r>
          <rPr>
            <sz val="8"/>
            <color indexed="81"/>
            <rFont val="Tahoma"/>
            <family val="2"/>
          </rPr>
          <t xml:space="preserve">
Based on P-A</t>
        </r>
      </text>
    </comment>
    <comment ref="E30" authorId="0" shapeId="0" xr:uid="{00000000-0006-0000-0200-000002000000}">
      <text>
        <r>
          <rPr>
            <b/>
            <sz val="8"/>
            <color indexed="81"/>
            <rFont val="Tahoma"/>
            <family val="2"/>
          </rPr>
          <t>blackwoodk:</t>
        </r>
        <r>
          <rPr>
            <sz val="8"/>
            <color indexed="81"/>
            <rFont val="Tahoma"/>
            <family val="2"/>
          </rPr>
          <t xml:space="preserve">
Based on P-A</t>
        </r>
      </text>
    </comment>
    <comment ref="D47" authorId="1" shapeId="0" xr:uid="{00000000-0006-0000-0200-000003000000}">
      <text>
        <r>
          <rPr>
            <b/>
            <sz val="8"/>
            <color indexed="81"/>
            <rFont val="Tahoma"/>
            <family val="2"/>
          </rPr>
          <t>Kathy Blackwood:</t>
        </r>
        <r>
          <rPr>
            <sz val="8"/>
            <color indexed="81"/>
            <rFont val="Tahoma"/>
            <family val="2"/>
          </rPr>
          <t xml:space="preserve">
Deducted plumbers FTES</t>
        </r>
      </text>
    </comment>
    <comment ref="H54" authorId="1" shapeId="0" xr:uid="{00000000-0006-0000-0200-000004000000}">
      <text>
        <r>
          <rPr>
            <b/>
            <sz val="8"/>
            <color indexed="81"/>
            <rFont val="Tahoma"/>
            <family val="2"/>
          </rPr>
          <t>Kathy Blackwood:</t>
        </r>
        <r>
          <rPr>
            <sz val="8"/>
            <color indexed="81"/>
            <rFont val="Tahoma"/>
            <family val="2"/>
          </rPr>
          <t xml:space="preserve">
based on workload reduction</t>
        </r>
      </text>
    </comment>
    <comment ref="D65" authorId="1" shapeId="0" xr:uid="{00000000-0006-0000-0200-000005000000}">
      <text>
        <r>
          <rPr>
            <b/>
            <sz val="8"/>
            <color indexed="81"/>
            <rFont val="Tahoma"/>
            <family val="2"/>
          </rPr>
          <t>Kathy Blackwood:</t>
        </r>
        <r>
          <rPr>
            <sz val="8"/>
            <color indexed="81"/>
            <rFont val="Tahoma"/>
            <family val="2"/>
          </rPr>
          <t xml:space="preserve">
Assume apprenticeship does </t>
        </r>
        <r>
          <rPr>
            <u/>
            <sz val="8"/>
            <color indexed="81"/>
            <rFont val="Tahoma"/>
            <family val="2"/>
          </rPr>
          <t>not</t>
        </r>
        <r>
          <rPr>
            <sz val="8"/>
            <color indexed="81"/>
            <rFont val="Tahoma"/>
            <family val="2"/>
          </rPr>
          <t xml:space="preserve"> go away</t>
        </r>
      </text>
    </comment>
    <comment ref="E72" authorId="2" shapeId="0" xr:uid="{00000000-0006-0000-0200-000006000000}">
      <text>
        <r>
          <rPr>
            <b/>
            <sz val="9"/>
            <color indexed="81"/>
            <rFont val="Tahoma"/>
            <family val="2"/>
          </rPr>
          <t>Blackwood, Kathy:</t>
        </r>
        <r>
          <rPr>
            <sz val="9"/>
            <color indexed="81"/>
            <rFont val="Tahoma"/>
            <family val="2"/>
          </rPr>
          <t xml:space="preserve">
Should subtract Measure G FTES; double counted</t>
        </r>
      </text>
    </comment>
    <comment ref="H87" authorId="1" shapeId="0" xr:uid="{00000000-0006-0000-0200-000007000000}">
      <text>
        <r>
          <rPr>
            <b/>
            <sz val="9"/>
            <color indexed="81"/>
            <rFont val="Tahoma"/>
            <family val="2"/>
          </rPr>
          <t>Kathy Blackwood:</t>
        </r>
        <r>
          <rPr>
            <sz val="9"/>
            <color indexed="81"/>
            <rFont val="Tahoma"/>
            <family val="2"/>
          </rPr>
          <t xml:space="preserve">
This is a drop of 500 from 11/12, due to not needing overcap to fund 10/11's borrowing.</t>
        </r>
      </text>
    </comment>
    <comment ref="C122" authorId="2" shapeId="0" xr:uid="{00000000-0006-0000-0200-000008000000}">
      <text>
        <r>
          <rPr>
            <b/>
            <sz val="9"/>
            <color indexed="81"/>
            <rFont val="Tahoma"/>
            <family val="2"/>
          </rPr>
          <t>Blackwood, Kathy:</t>
        </r>
        <r>
          <rPr>
            <sz val="9"/>
            <color indexed="81"/>
            <rFont val="Tahoma"/>
            <family val="2"/>
          </rPr>
          <t xml:space="preserve">
per Greg 7/20/2015</t>
        </r>
      </text>
    </comment>
    <comment ref="D122" authorId="2" shapeId="0" xr:uid="{00000000-0006-0000-0200-000009000000}">
      <text>
        <r>
          <rPr>
            <b/>
            <sz val="9"/>
            <color indexed="81"/>
            <rFont val="Tahoma"/>
            <family val="2"/>
          </rPr>
          <t>Blackwood, Kathy:</t>
        </r>
        <r>
          <rPr>
            <sz val="9"/>
            <color indexed="81"/>
            <rFont val="Tahoma"/>
            <family val="2"/>
          </rPr>
          <t xml:space="preserve">
Per Jan 7/20/2015</t>
        </r>
      </text>
    </comment>
    <comment ref="E122" authorId="2" shapeId="0" xr:uid="{00000000-0006-0000-0200-00000A000000}">
      <text>
        <r>
          <rPr>
            <b/>
            <sz val="9"/>
            <color indexed="81"/>
            <rFont val="Tahoma"/>
            <family val="2"/>
          </rPr>
          <t>Blackwood, Kathy:</t>
        </r>
        <r>
          <rPr>
            <sz val="9"/>
            <color indexed="81"/>
            <rFont val="Tahoma"/>
            <family val="2"/>
          </rPr>
          <t xml:space="preserve">
Total 7967 per Eloisa 7/21/2015</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Blackwood, Kathy</author>
  </authors>
  <commentList>
    <comment ref="D171" authorId="0" shapeId="0" xr:uid="{00000000-0006-0000-1500-000001000000}">
      <text>
        <r>
          <rPr>
            <b/>
            <sz val="9"/>
            <color indexed="81"/>
            <rFont val="Tahoma"/>
            <family val="2"/>
          </rPr>
          <t>Blackwood, Kathy:</t>
        </r>
        <r>
          <rPr>
            <sz val="9"/>
            <color indexed="81"/>
            <rFont val="Tahoma"/>
            <family val="2"/>
          </rPr>
          <t xml:space="preserve">
Per circular 5/13/2016</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Rachelle Minong</author>
    <author>SMCCD</author>
    <author>Blackwood, Kathy</author>
  </authors>
  <commentList>
    <comment ref="K1" authorId="0" shapeId="0" xr:uid="{00000000-0006-0000-1700-000001000000}">
      <text>
        <r>
          <rPr>
            <b/>
            <sz val="8"/>
            <color indexed="81"/>
            <rFont val="Tahoma"/>
            <family val="2"/>
          </rPr>
          <t>Rachelle Minong:</t>
        </r>
        <r>
          <rPr>
            <sz val="8"/>
            <color indexed="81"/>
            <rFont val="Tahoma"/>
            <family val="2"/>
          </rPr>
          <t xml:space="preserve">
Additional?</t>
        </r>
      </text>
    </comment>
    <comment ref="L31" authorId="1" shapeId="0" xr:uid="{00000000-0006-0000-1700-000002000000}">
      <text>
        <r>
          <rPr>
            <b/>
            <sz val="8"/>
            <color indexed="81"/>
            <rFont val="Tahoma"/>
            <family val="2"/>
          </rPr>
          <t>SMCCD:</t>
        </r>
        <r>
          <rPr>
            <sz val="8"/>
            <color indexed="81"/>
            <rFont val="Tahoma"/>
            <family val="2"/>
          </rPr>
          <t xml:space="preserve">
Spreadsheet from Aug 2015</t>
        </r>
      </text>
    </comment>
    <comment ref="E53" authorId="1" shapeId="0" xr:uid="{00000000-0006-0000-1700-000003000000}">
      <text>
        <r>
          <rPr>
            <b/>
            <sz val="8"/>
            <color indexed="81"/>
            <rFont val="Tahoma"/>
            <family val="2"/>
          </rPr>
          <t>SMCCD:</t>
        </r>
        <r>
          <rPr>
            <sz val="8"/>
            <color indexed="81"/>
            <rFont val="Tahoma"/>
            <family val="2"/>
          </rPr>
          <t xml:space="preserve">
COLA?
</t>
        </r>
      </text>
    </comment>
    <comment ref="E67" authorId="2" shapeId="0" xr:uid="{00000000-0006-0000-1700-000004000000}">
      <text>
        <r>
          <rPr>
            <b/>
            <sz val="9"/>
            <color indexed="81"/>
            <rFont val="Tahoma"/>
            <family val="2"/>
          </rPr>
          <t>Blackwood, Kathy:</t>
        </r>
        <r>
          <rPr>
            <sz val="9"/>
            <color indexed="81"/>
            <rFont val="Tahoma"/>
            <family val="2"/>
          </rPr>
          <t xml:space="preserve">
Increased from $23K to $60K per Ron 7.25.2016</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Kathy Blackwood</author>
    <author>Blackwood, Kathy</author>
  </authors>
  <commentList>
    <comment ref="E67" authorId="0" shapeId="0" xr:uid="{00000000-0006-0000-1900-000001000000}">
      <text>
        <r>
          <rPr>
            <b/>
            <sz val="9"/>
            <color indexed="81"/>
            <rFont val="Tahoma"/>
            <family val="2"/>
          </rPr>
          <t>Kathy Blackwood:</t>
        </r>
        <r>
          <rPr>
            <sz val="9"/>
            <color indexed="81"/>
            <rFont val="Tahoma"/>
            <family val="2"/>
          </rPr>
          <t xml:space="preserve">
We're not obligated for all their expenses.  How about they carryover anything unspent?</t>
        </r>
      </text>
    </comment>
    <comment ref="E68" authorId="0" shapeId="0" xr:uid="{00000000-0006-0000-1900-000002000000}">
      <text>
        <r>
          <rPr>
            <b/>
            <sz val="9"/>
            <color indexed="81"/>
            <rFont val="Tahoma"/>
            <family val="2"/>
          </rPr>
          <t>Kathy Blackwood:
We're not obligated for all their expenses.  How about they carryover anything unspent?</t>
        </r>
      </text>
    </comment>
    <comment ref="E71" authorId="0" shapeId="0" xr:uid="{00000000-0006-0000-1900-000003000000}">
      <text>
        <r>
          <rPr>
            <b/>
            <sz val="9"/>
            <color indexed="81"/>
            <rFont val="Tahoma"/>
            <family val="2"/>
          </rPr>
          <t>Kathy Blackwood:</t>
        </r>
        <r>
          <rPr>
            <sz val="9"/>
            <color indexed="81"/>
            <rFont val="Tahoma"/>
            <family val="2"/>
          </rPr>
          <t xml:space="preserve">
No spending last 3 years.  Why budget any?</t>
        </r>
      </text>
    </comment>
    <comment ref="E106" authorId="1" shapeId="0" xr:uid="{00000000-0006-0000-1900-000004000000}">
      <text>
        <r>
          <rPr>
            <b/>
            <sz val="9"/>
            <color indexed="81"/>
            <rFont val="Tahoma"/>
            <family val="2"/>
          </rPr>
          <t>Blackwood, Kathy:</t>
        </r>
        <r>
          <rPr>
            <sz val="9"/>
            <color indexed="81"/>
            <rFont val="Tahoma"/>
            <family val="2"/>
          </rPr>
          <t xml:space="preserve">
Per Ray 4/26/13
</t>
        </r>
      </text>
    </comment>
    <comment ref="E113" authorId="1" shapeId="0" xr:uid="{00000000-0006-0000-1900-000005000000}">
      <text>
        <r>
          <rPr>
            <b/>
            <sz val="9"/>
            <color indexed="81"/>
            <rFont val="Tahoma"/>
            <family val="2"/>
          </rPr>
          <t>Blackwood, Kathy:</t>
        </r>
        <r>
          <rPr>
            <sz val="9"/>
            <color indexed="81"/>
            <rFont val="Tahoma"/>
            <family val="2"/>
          </rPr>
          <t xml:space="preserve">
Per Ray 4/26/13
</t>
        </r>
      </text>
    </comment>
    <comment ref="E114" authorId="1" shapeId="0" xr:uid="{00000000-0006-0000-1900-000006000000}">
      <text>
        <r>
          <rPr>
            <b/>
            <sz val="9"/>
            <color indexed="81"/>
            <rFont val="Tahoma"/>
            <family val="2"/>
          </rPr>
          <t>Blackwood, Kathy:</t>
        </r>
        <r>
          <rPr>
            <sz val="9"/>
            <color indexed="81"/>
            <rFont val="Tahoma"/>
            <family val="2"/>
          </rPr>
          <t xml:space="preserve">
Was $462K in 11/12</t>
        </r>
      </text>
    </comment>
    <comment ref="E115" authorId="0" shapeId="0" xr:uid="{00000000-0006-0000-1900-000007000000}">
      <text>
        <r>
          <rPr>
            <b/>
            <sz val="9"/>
            <color indexed="81"/>
            <rFont val="Tahoma"/>
            <family val="2"/>
          </rPr>
          <t>Kathy Blackwood:</t>
        </r>
        <r>
          <rPr>
            <sz val="9"/>
            <color indexed="81"/>
            <rFont val="Tahoma"/>
            <family val="2"/>
          </rPr>
          <t xml:space="preserve">
No bad debt at this time.</t>
        </r>
      </text>
    </comment>
    <comment ref="E116" authorId="0" shapeId="0" xr:uid="{00000000-0006-0000-1900-000008000000}">
      <text>
        <r>
          <rPr>
            <b/>
            <sz val="9"/>
            <color indexed="81"/>
            <rFont val="Tahoma"/>
            <family val="2"/>
          </rPr>
          <t xml:space="preserve">Kathy Blackwood:
</t>
        </r>
        <r>
          <rPr>
            <sz val="9"/>
            <color indexed="81"/>
            <rFont val="Tahoma"/>
            <family val="2"/>
          </rPr>
          <t>Estimate from Lily; final budget needed for Adopted</t>
        </r>
      </text>
    </comment>
    <comment ref="E119" authorId="0" shapeId="0" xr:uid="{00000000-0006-0000-1900-000009000000}">
      <text>
        <r>
          <rPr>
            <b/>
            <sz val="9"/>
            <color indexed="81"/>
            <rFont val="Tahoma"/>
            <family val="2"/>
          </rPr>
          <t>Kathy Blackwood:</t>
        </r>
        <r>
          <rPr>
            <sz val="9"/>
            <color indexed="81"/>
            <rFont val="Tahoma"/>
            <family val="2"/>
          </rPr>
          <t xml:space="preserve">
Nsubs for college release time</t>
        </r>
      </text>
    </comment>
    <comment ref="E120" authorId="1" shapeId="0" xr:uid="{00000000-0006-0000-1900-00000A000000}">
      <text>
        <r>
          <rPr>
            <b/>
            <sz val="9"/>
            <color indexed="81"/>
            <rFont val="Tahoma"/>
            <family val="2"/>
          </rPr>
          <t>Blackwood, Kathy:</t>
        </r>
        <r>
          <rPr>
            <sz val="9"/>
            <color indexed="81"/>
            <rFont val="Tahoma"/>
            <family val="2"/>
          </rPr>
          <t xml:space="preserve">
DW Senate Pres</t>
        </r>
      </text>
    </comment>
    <comment ref="E154" authorId="1" shapeId="0" xr:uid="{00000000-0006-0000-1900-00000B000000}">
      <text>
        <r>
          <rPr>
            <b/>
            <sz val="9"/>
            <color indexed="81"/>
            <rFont val="Tahoma"/>
            <family val="2"/>
          </rPr>
          <t>Blackwood, Kathy:</t>
        </r>
        <r>
          <rPr>
            <sz val="9"/>
            <color indexed="81"/>
            <rFont val="Tahoma"/>
            <family val="2"/>
          </rPr>
          <t xml:space="preserve">
Per Ray 4/26/13
</t>
        </r>
      </text>
    </comment>
    <comment ref="E161" authorId="1" shapeId="0" xr:uid="{00000000-0006-0000-1900-00000C000000}">
      <text>
        <r>
          <rPr>
            <b/>
            <sz val="9"/>
            <color indexed="81"/>
            <rFont val="Tahoma"/>
            <family val="2"/>
          </rPr>
          <t>Blackwood, Kathy:</t>
        </r>
        <r>
          <rPr>
            <sz val="9"/>
            <color indexed="81"/>
            <rFont val="Tahoma"/>
            <family val="2"/>
          </rPr>
          <t xml:space="preserve">
Per Ray 4/16/14
</t>
        </r>
      </text>
    </comment>
    <comment ref="E162" authorId="1" shapeId="0" xr:uid="{00000000-0006-0000-1900-00000D000000}">
      <text>
        <r>
          <rPr>
            <b/>
            <sz val="9"/>
            <color indexed="81"/>
            <rFont val="Tahoma"/>
            <family val="2"/>
          </rPr>
          <t>Blackwood, Kathy:</t>
        </r>
        <r>
          <rPr>
            <sz val="9"/>
            <color indexed="81"/>
            <rFont val="Tahoma"/>
            <family val="2"/>
          </rPr>
          <t xml:space="preserve">
Was $462K in 11/12</t>
        </r>
      </text>
    </comment>
    <comment ref="E163" authorId="0" shapeId="0" xr:uid="{00000000-0006-0000-1900-00000E000000}">
      <text>
        <r>
          <rPr>
            <b/>
            <sz val="9"/>
            <color indexed="81"/>
            <rFont val="Tahoma"/>
            <family val="2"/>
          </rPr>
          <t>Kathy Blackwood:</t>
        </r>
        <r>
          <rPr>
            <sz val="9"/>
            <color indexed="81"/>
            <rFont val="Tahoma"/>
            <family val="2"/>
          </rPr>
          <t xml:space="preserve">
No bad debt at this time.</t>
        </r>
      </text>
    </comment>
    <comment ref="E164" authorId="0" shapeId="0" xr:uid="{00000000-0006-0000-1900-00000F000000}">
      <text>
        <r>
          <rPr>
            <b/>
            <sz val="9"/>
            <color indexed="81"/>
            <rFont val="Tahoma"/>
            <family val="2"/>
          </rPr>
          <t xml:space="preserve">Kathy Blackwood:
</t>
        </r>
        <r>
          <rPr>
            <sz val="9"/>
            <color indexed="81"/>
            <rFont val="Tahoma"/>
            <family val="2"/>
          </rPr>
          <t>Estimate from Lily; final budget needed for Adopted</t>
        </r>
      </text>
    </comment>
    <comment ref="E167" authorId="0" shapeId="0" xr:uid="{00000000-0006-0000-1900-000010000000}">
      <text>
        <r>
          <rPr>
            <b/>
            <sz val="9"/>
            <color indexed="81"/>
            <rFont val="Tahoma"/>
            <family val="2"/>
          </rPr>
          <t>Kathy Blackwood:</t>
        </r>
        <r>
          <rPr>
            <sz val="9"/>
            <color indexed="81"/>
            <rFont val="Tahoma"/>
            <family val="2"/>
          </rPr>
          <t xml:space="preserve">
Nsubs for college release time</t>
        </r>
      </text>
    </comment>
    <comment ref="E168" authorId="1" shapeId="0" xr:uid="{00000000-0006-0000-1900-000011000000}">
      <text>
        <r>
          <rPr>
            <b/>
            <sz val="9"/>
            <color indexed="81"/>
            <rFont val="Tahoma"/>
            <family val="2"/>
          </rPr>
          <t>Blackwood, Kathy:</t>
        </r>
        <r>
          <rPr>
            <sz val="9"/>
            <color indexed="81"/>
            <rFont val="Tahoma"/>
            <family val="2"/>
          </rPr>
          <t xml:space="preserve">
DW Senate Pres</t>
        </r>
      </text>
    </comment>
    <comment ref="E172" authorId="1" shapeId="0" xr:uid="{00000000-0006-0000-1900-000012000000}">
      <text>
        <r>
          <rPr>
            <b/>
            <sz val="9"/>
            <color indexed="81"/>
            <rFont val="Tahoma"/>
            <family val="2"/>
          </rPr>
          <t>Blackwood, Kathy:</t>
        </r>
        <r>
          <rPr>
            <sz val="9"/>
            <color indexed="81"/>
            <rFont val="Tahoma"/>
            <family val="2"/>
          </rPr>
          <t xml:space="preserve">
Increased from $65K to $130 K
</t>
        </r>
      </text>
    </comment>
    <comment ref="E173" authorId="1" shapeId="0" xr:uid="{00000000-0006-0000-1900-000013000000}">
      <text>
        <r>
          <rPr>
            <b/>
            <sz val="9"/>
            <color indexed="81"/>
            <rFont val="Tahoma"/>
            <family val="2"/>
          </rPr>
          <t>Blackwood, Kathy:</t>
        </r>
        <r>
          <rPr>
            <sz val="9"/>
            <color indexed="81"/>
            <rFont val="Tahoma"/>
            <family val="2"/>
          </rPr>
          <t xml:space="preserve">
Increased from $20K to $50K</t>
        </r>
      </text>
    </comment>
    <comment ref="E178" authorId="1" shapeId="0" xr:uid="{00000000-0006-0000-1900-000014000000}">
      <text>
        <r>
          <rPr>
            <b/>
            <sz val="9"/>
            <color indexed="81"/>
            <rFont val="Tahoma"/>
            <family val="2"/>
          </rPr>
          <t>Blackwood, Kathy:</t>
        </r>
        <r>
          <rPr>
            <sz val="9"/>
            <color indexed="81"/>
            <rFont val="Tahoma"/>
            <family val="2"/>
          </rPr>
          <t xml:space="preserve">
Added $200K in case of redistricting</t>
        </r>
      </text>
    </comment>
    <comment ref="E266" authorId="1" shapeId="0" xr:uid="{00000000-0006-0000-1900-000015000000}">
      <text>
        <r>
          <rPr>
            <b/>
            <sz val="9"/>
            <color indexed="81"/>
            <rFont val="Tahoma"/>
            <family val="2"/>
          </rPr>
          <t>Blackwood, Kathy:</t>
        </r>
        <r>
          <rPr>
            <sz val="9"/>
            <color indexed="81"/>
            <rFont val="Tahoma"/>
            <family val="2"/>
          </rPr>
          <t xml:space="preserve">
Added $1m to adjust ending balance</t>
        </r>
      </text>
    </comment>
    <comment ref="E312" authorId="1" shapeId="0" xr:uid="{00000000-0006-0000-1900-000016000000}">
      <text>
        <r>
          <rPr>
            <b/>
            <sz val="9"/>
            <color indexed="81"/>
            <rFont val="Tahoma"/>
            <family val="2"/>
          </rPr>
          <t>Blackwood, Kathy:</t>
        </r>
        <r>
          <rPr>
            <sz val="9"/>
            <color indexed="81"/>
            <rFont val="Tahoma"/>
            <family val="2"/>
          </rPr>
          <t xml:space="preserve">
This is now part of the site allocation.</t>
        </r>
      </text>
    </comment>
    <comment ref="E318" authorId="1" shapeId="0" xr:uid="{00000000-0006-0000-1900-000017000000}">
      <text>
        <r>
          <rPr>
            <b/>
            <sz val="9"/>
            <color indexed="81"/>
            <rFont val="Tahoma"/>
            <family val="2"/>
          </rPr>
          <t>Blackwood, Kathy:</t>
        </r>
        <r>
          <rPr>
            <sz val="9"/>
            <color indexed="81"/>
            <rFont val="Tahoma"/>
            <family val="2"/>
          </rPr>
          <t xml:space="preserve">
Shouldn't this be zero?</t>
        </r>
      </text>
    </comment>
    <comment ref="E340" authorId="1" shapeId="0" xr:uid="{00000000-0006-0000-1900-000018000000}">
      <text>
        <r>
          <rPr>
            <b/>
            <sz val="9"/>
            <color indexed="81"/>
            <rFont val="Tahoma"/>
            <family val="2"/>
          </rPr>
          <t>Blackwood, Kathy:</t>
        </r>
        <r>
          <rPr>
            <sz val="9"/>
            <color indexed="81"/>
            <rFont val="Tahoma"/>
            <family val="2"/>
          </rPr>
          <t xml:space="preserve">
Increased from $23K to $60K per Ron 7.25.2016</t>
        </r>
      </text>
    </comment>
    <comment ref="E345" authorId="1" shapeId="0" xr:uid="{00000000-0006-0000-1900-000019000000}">
      <text>
        <r>
          <rPr>
            <b/>
            <sz val="9"/>
            <color indexed="81"/>
            <rFont val="Tahoma"/>
            <family val="2"/>
          </rPr>
          <t>Blackwood, Kathy:</t>
        </r>
        <r>
          <rPr>
            <sz val="9"/>
            <color indexed="81"/>
            <rFont val="Tahoma"/>
            <family val="2"/>
          </rPr>
          <t xml:space="preserve">
Do we have an election this year?  How much should we reserve, if any?</t>
        </r>
      </text>
    </comment>
    <comment ref="E347" authorId="1" shapeId="0" xr:uid="{00000000-0006-0000-1900-00001A000000}">
      <text>
        <r>
          <rPr>
            <b/>
            <sz val="9"/>
            <color indexed="81"/>
            <rFont val="Tahoma"/>
            <family val="2"/>
          </rPr>
          <t>Blackwood, Kathy:</t>
        </r>
        <r>
          <rPr>
            <sz val="9"/>
            <color indexed="81"/>
            <rFont val="Tahoma"/>
            <family val="2"/>
          </rPr>
          <t xml:space="preserve">
Do we have an election this year?  How much should we reserve, if any?</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Blackwood, Kathy</author>
    <author>Kathy Blackwood</author>
  </authors>
  <commentList>
    <comment ref="K2" authorId="0" shapeId="0" xr:uid="{00000000-0006-0000-1C00-000001000000}">
      <text>
        <r>
          <rPr>
            <b/>
            <sz val="9"/>
            <color indexed="81"/>
            <rFont val="Tahoma"/>
            <family val="2"/>
          </rPr>
          <t>Blackwood, Kathy:</t>
        </r>
        <r>
          <rPr>
            <sz val="9"/>
            <color indexed="81"/>
            <rFont val="Tahoma"/>
            <family val="2"/>
          </rPr>
          <t xml:space="preserve">
Per Yanely 4/25/14</t>
        </r>
      </text>
    </comment>
    <comment ref="G11" authorId="1" shapeId="0" xr:uid="{00000000-0006-0000-1C00-000002000000}">
      <text>
        <r>
          <rPr>
            <b/>
            <sz val="9"/>
            <color indexed="81"/>
            <rFont val="Tahoma"/>
            <family val="2"/>
          </rPr>
          <t>Kathy Blackwood:</t>
        </r>
        <r>
          <rPr>
            <sz val="9"/>
            <color indexed="81"/>
            <rFont val="Tahoma"/>
            <family val="2"/>
          </rPr>
          <t xml:space="preserve">
$60K to MacCorkle and $5K misc charges</t>
        </r>
      </text>
    </comment>
    <comment ref="G12" authorId="1" shapeId="0" xr:uid="{00000000-0006-0000-1C00-000003000000}">
      <text>
        <r>
          <rPr>
            <b/>
            <sz val="9"/>
            <color indexed="81"/>
            <rFont val="Tahoma"/>
            <family val="2"/>
          </rPr>
          <t>Kathy Blackwood:</t>
        </r>
        <r>
          <rPr>
            <sz val="9"/>
            <color indexed="81"/>
            <rFont val="Tahoma"/>
            <family val="2"/>
          </rPr>
          <t xml:space="preserve">
$44K per Suki; MacCorkle thought it would be $60,918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smcccd</author>
    <author>Blackwood, Kathy</author>
    <author>Kathy Blackwood</author>
    <author>Microsoft Office User</author>
  </authors>
  <commentList>
    <comment ref="P9" authorId="0" shapeId="0" xr:uid="{00000000-0006-0000-0300-000001000000}">
      <text>
        <r>
          <rPr>
            <b/>
            <sz val="10"/>
            <color indexed="81"/>
            <rFont val="Tahoma"/>
            <family val="2"/>
          </rPr>
          <t>smcccd:</t>
        </r>
        <r>
          <rPr>
            <sz val="10"/>
            <color indexed="81"/>
            <rFont val="Tahoma"/>
            <family val="2"/>
          </rPr>
          <t xml:space="preserve">
includes 4.23% COLA, PFE, new PFE funding and Equal (but not new equal $)</t>
        </r>
        <r>
          <rPr>
            <sz val="8"/>
            <color indexed="81"/>
            <rFont val="Tahoma"/>
            <family val="2"/>
          </rPr>
          <t xml:space="preserve">
</t>
        </r>
      </text>
    </comment>
    <comment ref="O11" authorId="0" shapeId="0" xr:uid="{00000000-0006-0000-0300-000002000000}">
      <text>
        <r>
          <rPr>
            <b/>
            <sz val="8"/>
            <color indexed="81"/>
            <rFont val="Tahoma"/>
            <family val="2"/>
          </rPr>
          <t>smcccd:</t>
        </r>
        <r>
          <rPr>
            <sz val="8"/>
            <color indexed="81"/>
            <rFont val="Tahoma"/>
            <family val="2"/>
          </rPr>
          <t xml:space="preserve">
</t>
        </r>
        <r>
          <rPr>
            <sz val="10"/>
            <color indexed="81"/>
            <rFont val="Tahoma"/>
            <family val="2"/>
          </rPr>
          <t>prior year</t>
        </r>
      </text>
    </comment>
    <comment ref="AB12" authorId="1" shapeId="0" xr:uid="{00000000-0006-0000-0300-000003000000}">
      <text>
        <r>
          <rPr>
            <b/>
            <sz val="9"/>
            <color indexed="81"/>
            <rFont val="Tahoma"/>
            <family val="2"/>
          </rPr>
          <t>Blackwood, Kathy:</t>
        </r>
        <r>
          <rPr>
            <sz val="9"/>
            <color indexed="81"/>
            <rFont val="Tahoma"/>
            <family val="2"/>
          </rPr>
          <t xml:space="preserve">
including BA degree fees not included in revenue limit</t>
        </r>
      </text>
    </comment>
    <comment ref="O14" authorId="0" shapeId="0" xr:uid="{00000000-0006-0000-0300-000004000000}">
      <text>
        <r>
          <rPr>
            <b/>
            <sz val="8"/>
            <color indexed="81"/>
            <rFont val="Tahoma"/>
            <family val="2"/>
          </rPr>
          <t>smcccd:</t>
        </r>
        <r>
          <rPr>
            <sz val="8"/>
            <color indexed="81"/>
            <rFont val="Tahoma"/>
            <family val="2"/>
          </rPr>
          <t xml:space="preserve">
incl accrual</t>
        </r>
      </text>
    </comment>
    <comment ref="Z14" authorId="1" shapeId="0" xr:uid="{00000000-0006-0000-0300-000005000000}">
      <text>
        <r>
          <rPr>
            <b/>
            <sz val="9"/>
            <color indexed="81"/>
            <rFont val="Tahoma"/>
            <family val="2"/>
          </rPr>
          <t>Blackwood, Kathy:</t>
        </r>
        <r>
          <rPr>
            <sz val="9"/>
            <color indexed="81"/>
            <rFont val="Tahoma"/>
            <family val="2"/>
          </rPr>
          <t xml:space="preserve">
Per Ray 4/16/14</t>
        </r>
      </text>
    </comment>
    <comment ref="AB14" authorId="1" shapeId="0" xr:uid="{00000000-0006-0000-0300-000006000000}">
      <text>
        <r>
          <rPr>
            <b/>
            <sz val="9"/>
            <color indexed="81"/>
            <rFont val="Tahoma"/>
            <family val="2"/>
          </rPr>
          <t>Blackwood, Kathy:</t>
        </r>
        <r>
          <rPr>
            <sz val="9"/>
            <color indexed="81"/>
            <rFont val="Tahoma"/>
            <family val="2"/>
          </rPr>
          <t xml:space="preserve">
$144/FTES</t>
        </r>
      </text>
    </comment>
    <comment ref="V15" authorId="2" shapeId="0" xr:uid="{00000000-0006-0000-0300-000007000000}">
      <text>
        <r>
          <rPr>
            <b/>
            <sz val="8"/>
            <color indexed="81"/>
            <rFont val="Tahoma"/>
            <family val="2"/>
          </rPr>
          <t>Kathy Blackwood:</t>
        </r>
        <r>
          <rPr>
            <sz val="8"/>
            <color indexed="81"/>
            <rFont val="Tahoma"/>
            <family val="2"/>
          </rPr>
          <t xml:space="preserve">
Based on 09/10 P-1</t>
        </r>
      </text>
    </comment>
    <comment ref="AA15" authorId="1" shapeId="0" xr:uid="{00000000-0006-0000-0300-000008000000}">
      <text>
        <r>
          <rPr>
            <b/>
            <sz val="9"/>
            <color indexed="81"/>
            <rFont val="Tahoma"/>
            <family val="2"/>
          </rPr>
          <t>Blackwood, Kathy:</t>
        </r>
        <r>
          <rPr>
            <sz val="9"/>
            <color indexed="81"/>
            <rFont val="Tahoma"/>
            <family val="2"/>
          </rPr>
          <t xml:space="preserve">
Per advance apport.</t>
        </r>
      </text>
    </comment>
    <comment ref="AB15" authorId="1" shapeId="0" xr:uid="{00000000-0006-0000-0300-000009000000}">
      <text>
        <r>
          <rPr>
            <b/>
            <sz val="9"/>
            <color indexed="81"/>
            <rFont val="Tahoma"/>
            <family val="2"/>
          </rPr>
          <t>Blackwood, Kathy:</t>
        </r>
        <r>
          <rPr>
            <sz val="9"/>
            <color indexed="81"/>
            <rFont val="Tahoma"/>
            <family val="2"/>
          </rPr>
          <t xml:space="preserve">
Includes FT Faculty hiring funding</t>
        </r>
      </text>
    </comment>
    <comment ref="V16" authorId="2" shapeId="0" xr:uid="{00000000-0006-0000-0300-00000A000000}">
      <text>
        <r>
          <rPr>
            <b/>
            <sz val="8"/>
            <color indexed="81"/>
            <rFont val="Tahoma"/>
            <family val="2"/>
          </rPr>
          <t>Kathy Blackwood:</t>
        </r>
        <r>
          <rPr>
            <sz val="8"/>
            <color indexed="81"/>
            <rFont val="Tahoma"/>
            <family val="2"/>
          </rPr>
          <t xml:space="preserve">
Based on 09/10 P-1</t>
        </r>
      </text>
    </comment>
    <comment ref="AA16" authorId="1" shapeId="0" xr:uid="{00000000-0006-0000-0300-00000B000000}">
      <text>
        <r>
          <rPr>
            <b/>
            <sz val="9"/>
            <color indexed="81"/>
            <rFont val="Tahoma"/>
            <family val="2"/>
          </rPr>
          <t>Blackwood, Kathy:</t>
        </r>
        <r>
          <rPr>
            <sz val="9"/>
            <color indexed="81"/>
            <rFont val="Tahoma"/>
            <family val="2"/>
          </rPr>
          <t xml:space="preserve">
guessing decrease same as PT Fac Allocation decreased</t>
        </r>
      </text>
    </comment>
    <comment ref="V17" authorId="2" shapeId="0" xr:uid="{00000000-0006-0000-0300-00000C000000}">
      <text>
        <r>
          <rPr>
            <b/>
            <sz val="8"/>
            <color indexed="81"/>
            <rFont val="Tahoma"/>
            <family val="2"/>
          </rPr>
          <t>Kathy Blackwood:</t>
        </r>
        <r>
          <rPr>
            <sz val="8"/>
            <color indexed="81"/>
            <rFont val="Tahoma"/>
            <family val="2"/>
          </rPr>
          <t xml:space="preserve">
Based on 09/10 P-2</t>
        </r>
      </text>
    </comment>
    <comment ref="AB17" authorId="1" shapeId="0" xr:uid="{00000000-0006-0000-0300-00000D000000}">
      <text>
        <r>
          <rPr>
            <b/>
            <sz val="9"/>
            <color indexed="81"/>
            <rFont val="Tahoma"/>
            <family val="2"/>
          </rPr>
          <t>Blackwood, Kathy:</t>
        </r>
        <r>
          <rPr>
            <sz val="9"/>
            <color indexed="81"/>
            <rFont val="Tahoma"/>
            <family val="2"/>
          </rPr>
          <t xml:space="preserve">
Per State prelim allocation 7.25.2016</t>
        </r>
      </text>
    </comment>
    <comment ref="V18" authorId="2" shapeId="0" xr:uid="{00000000-0006-0000-0300-00000E000000}">
      <text>
        <r>
          <rPr>
            <b/>
            <sz val="9"/>
            <color indexed="81"/>
            <rFont val="Tahoma"/>
            <family val="2"/>
          </rPr>
          <t>Kathy Blackwood:</t>
        </r>
        <r>
          <rPr>
            <sz val="9"/>
            <color indexed="81"/>
            <rFont val="Tahoma"/>
            <family val="2"/>
          </rPr>
          <t xml:space="preserve">
$1,617,389 actual as of 3/17/10</t>
        </r>
      </text>
    </comment>
    <comment ref="AB18" authorId="1" shapeId="0" xr:uid="{00000000-0006-0000-0300-00000F000000}">
      <text>
        <r>
          <rPr>
            <b/>
            <sz val="9"/>
            <color indexed="81"/>
            <rFont val="Tahoma"/>
            <family val="2"/>
          </rPr>
          <t>Blackwood, Kathy:</t>
        </r>
        <r>
          <rPr>
            <sz val="9"/>
            <color indexed="81"/>
            <rFont val="Tahoma"/>
            <family val="2"/>
          </rPr>
          <t xml:space="preserve">
Using 15/16 actuals, not budget</t>
        </r>
      </text>
    </comment>
    <comment ref="V20" authorId="2" shapeId="0" xr:uid="{00000000-0006-0000-0300-000010000000}">
      <text>
        <r>
          <rPr>
            <b/>
            <sz val="8"/>
            <color indexed="81"/>
            <rFont val="Tahoma"/>
            <family val="2"/>
          </rPr>
          <t>Kathy Blackwood:</t>
        </r>
        <r>
          <rPr>
            <sz val="8"/>
            <color indexed="81"/>
            <rFont val="Tahoma"/>
            <family val="2"/>
          </rPr>
          <t xml:space="preserve">
Per Ray 3/2/10
</t>
        </r>
      </text>
    </comment>
    <comment ref="Z20" authorId="1" shapeId="0" xr:uid="{00000000-0006-0000-0300-000011000000}">
      <text>
        <r>
          <rPr>
            <b/>
            <sz val="9"/>
            <color indexed="81"/>
            <rFont val="Tahoma"/>
            <family val="2"/>
          </rPr>
          <t>Blackwood, Kathy:</t>
        </r>
        <r>
          <rPr>
            <sz val="9"/>
            <color indexed="81"/>
            <rFont val="Tahoma"/>
            <family val="2"/>
          </rPr>
          <t xml:space="preserve">
Per Ray 4/16/14</t>
        </r>
      </text>
    </comment>
    <comment ref="AA20" authorId="1" shapeId="0" xr:uid="{00000000-0006-0000-0300-000012000000}">
      <text>
        <r>
          <rPr>
            <b/>
            <sz val="9"/>
            <color indexed="81"/>
            <rFont val="Tahoma"/>
            <family val="2"/>
          </rPr>
          <t>Blackwood, Kathy:</t>
        </r>
        <r>
          <rPr>
            <sz val="9"/>
            <color indexed="81"/>
            <rFont val="Tahoma"/>
            <family val="2"/>
          </rPr>
          <t xml:space="preserve">
per Ray 8/10/2015</t>
        </r>
      </text>
    </comment>
    <comment ref="AB20" authorId="1" shapeId="0" xr:uid="{00000000-0006-0000-0300-000013000000}">
      <text>
        <r>
          <rPr>
            <b/>
            <sz val="9"/>
            <color indexed="81"/>
            <rFont val="Tahoma"/>
            <family val="2"/>
          </rPr>
          <t>Blackwood, Kathy:</t>
        </r>
        <r>
          <rPr>
            <sz val="9"/>
            <color indexed="81"/>
            <rFont val="Tahoma"/>
            <family val="2"/>
          </rPr>
          <t xml:space="preserve">
Per Ray, 4/29/2016</t>
        </r>
      </text>
    </comment>
    <comment ref="AB21" authorId="1" shapeId="0" xr:uid="{00000000-0006-0000-0300-000014000000}">
      <text>
        <r>
          <rPr>
            <b/>
            <sz val="9"/>
            <color indexed="81"/>
            <rFont val="Tahoma"/>
            <family val="2"/>
          </rPr>
          <t>Blackwood, Kathy:</t>
        </r>
        <r>
          <rPr>
            <sz val="9"/>
            <color indexed="81"/>
            <rFont val="Tahoma"/>
            <family val="2"/>
          </rPr>
          <t xml:space="preserve">
one time plus ongoing</t>
        </r>
      </text>
    </comment>
    <comment ref="V23" authorId="2" shapeId="0" xr:uid="{00000000-0006-0000-0300-000015000000}">
      <text>
        <r>
          <rPr>
            <b/>
            <sz val="9"/>
            <color indexed="81"/>
            <rFont val="Tahoma"/>
            <family val="2"/>
          </rPr>
          <t>Kathy Blackwood:</t>
        </r>
        <r>
          <rPr>
            <sz val="9"/>
            <color indexed="81"/>
            <rFont val="Tahoma"/>
            <family val="2"/>
          </rPr>
          <t xml:space="preserve">
Includes tsfr of RDA funds from Fund 4 for colleges and for Barbara Christensen</t>
        </r>
      </text>
    </comment>
    <comment ref="AB29" authorId="1" shapeId="0" xr:uid="{00000000-0006-0000-0300-000016000000}">
      <text>
        <r>
          <rPr>
            <b/>
            <sz val="9"/>
            <color indexed="81"/>
            <rFont val="Tahoma"/>
            <family val="2"/>
          </rPr>
          <t>Blackwood, Kathy:</t>
        </r>
        <r>
          <rPr>
            <sz val="9"/>
            <color indexed="81"/>
            <rFont val="Tahoma"/>
            <family val="2"/>
          </rPr>
          <t xml:space="preserve">
one time plus ongoing</t>
        </r>
      </text>
    </comment>
    <comment ref="AB30" authorId="1" shapeId="0" xr:uid="{00000000-0006-0000-0300-000017000000}">
      <text>
        <r>
          <rPr>
            <b/>
            <sz val="9"/>
            <color indexed="81"/>
            <rFont val="Tahoma"/>
            <family val="2"/>
          </rPr>
          <t>Blackwood, Kathy:</t>
        </r>
        <r>
          <rPr>
            <sz val="9"/>
            <color indexed="81"/>
            <rFont val="Tahoma"/>
            <family val="2"/>
          </rPr>
          <t xml:space="preserve">
one time plus ongoing</t>
        </r>
      </text>
    </comment>
    <comment ref="AB31" authorId="1" shapeId="0" xr:uid="{00000000-0006-0000-0300-000018000000}">
      <text>
        <r>
          <rPr>
            <b/>
            <sz val="9"/>
            <color indexed="81"/>
            <rFont val="Tahoma"/>
            <family val="2"/>
          </rPr>
          <t>Blackwood, Kathy:</t>
        </r>
        <r>
          <rPr>
            <sz val="9"/>
            <color indexed="81"/>
            <rFont val="Tahoma"/>
            <family val="2"/>
          </rPr>
          <t xml:space="preserve">
one time plus ongoing</t>
        </r>
      </text>
    </comment>
    <comment ref="AB32" authorId="1" shapeId="0" xr:uid="{00000000-0006-0000-0300-000019000000}">
      <text>
        <r>
          <rPr>
            <b/>
            <sz val="9"/>
            <color indexed="81"/>
            <rFont val="Tahoma"/>
            <family val="2"/>
          </rPr>
          <t>Blackwood, Kathy:</t>
        </r>
        <r>
          <rPr>
            <sz val="9"/>
            <color indexed="81"/>
            <rFont val="Tahoma"/>
            <family val="2"/>
          </rPr>
          <t xml:space="preserve">
one time plus ongoing</t>
        </r>
      </text>
    </comment>
    <comment ref="AB34" authorId="1" shapeId="0" xr:uid="{00000000-0006-0000-0300-00001A000000}">
      <text>
        <r>
          <rPr>
            <b/>
            <sz val="9"/>
            <color indexed="81"/>
            <rFont val="Tahoma"/>
            <family val="2"/>
          </rPr>
          <t>Blackwood, Kathy:</t>
        </r>
        <r>
          <rPr>
            <sz val="9"/>
            <color indexed="81"/>
            <rFont val="Tahoma"/>
            <family val="2"/>
          </rPr>
          <t xml:space="preserve">
one time plus ongoing</t>
        </r>
      </text>
    </comment>
    <comment ref="AB36" authorId="1" shapeId="0" xr:uid="{00000000-0006-0000-0300-00001B000000}">
      <text>
        <r>
          <rPr>
            <b/>
            <sz val="9"/>
            <color indexed="81"/>
            <rFont val="Tahoma"/>
            <family val="2"/>
          </rPr>
          <t>Blackwood, Kathy:</t>
        </r>
        <r>
          <rPr>
            <sz val="9"/>
            <color indexed="81"/>
            <rFont val="Tahoma"/>
            <family val="2"/>
          </rPr>
          <t xml:space="preserve">
one time plus ongoing</t>
        </r>
      </text>
    </comment>
    <comment ref="AB37" authorId="1" shapeId="0" xr:uid="{00000000-0006-0000-0300-00001C000000}">
      <text>
        <r>
          <rPr>
            <b/>
            <sz val="9"/>
            <color indexed="81"/>
            <rFont val="Tahoma"/>
            <family val="2"/>
          </rPr>
          <t>Blackwood, Kathy:</t>
        </r>
        <r>
          <rPr>
            <sz val="9"/>
            <color indexed="81"/>
            <rFont val="Tahoma"/>
            <family val="2"/>
          </rPr>
          <t xml:space="preserve">
one time plus ongoing</t>
        </r>
      </text>
    </comment>
    <comment ref="AB38" authorId="1" shapeId="0" xr:uid="{00000000-0006-0000-0300-00001D000000}">
      <text>
        <r>
          <rPr>
            <b/>
            <sz val="9"/>
            <color indexed="81"/>
            <rFont val="Tahoma"/>
            <family val="2"/>
          </rPr>
          <t>Blackwood, Kathy:</t>
        </r>
        <r>
          <rPr>
            <sz val="9"/>
            <color indexed="81"/>
            <rFont val="Tahoma"/>
            <family val="2"/>
          </rPr>
          <t xml:space="preserve">
one time plus ongoing</t>
        </r>
      </text>
    </comment>
    <comment ref="AB39" authorId="1" shapeId="0" xr:uid="{00000000-0006-0000-0300-00001E000000}">
      <text>
        <r>
          <rPr>
            <b/>
            <sz val="9"/>
            <color indexed="81"/>
            <rFont val="Tahoma"/>
            <family val="2"/>
          </rPr>
          <t>Blackwood, Kathy:</t>
        </r>
        <r>
          <rPr>
            <sz val="9"/>
            <color indexed="81"/>
            <rFont val="Tahoma"/>
            <family val="2"/>
          </rPr>
          <t xml:space="preserve">
one time plus ongoing</t>
        </r>
      </text>
    </comment>
    <comment ref="AD39" authorId="3" shapeId="0" xr:uid="{00000000-0006-0000-0300-00001F000000}">
      <text>
        <r>
          <rPr>
            <b/>
            <sz val="10"/>
            <color indexed="81"/>
            <rFont val="Calibri"/>
            <family val="2"/>
          </rPr>
          <t xml:space="preserve">Microsoft Office User:reduced by $1.5M to balance budget
</t>
        </r>
      </text>
    </comment>
    <comment ref="AB40" authorId="1" shapeId="0" xr:uid="{00000000-0006-0000-0300-000020000000}">
      <text>
        <r>
          <rPr>
            <b/>
            <sz val="9"/>
            <color indexed="81"/>
            <rFont val="Tahoma"/>
            <family val="2"/>
          </rPr>
          <t>Blackwood, Kathy:</t>
        </r>
        <r>
          <rPr>
            <sz val="9"/>
            <color indexed="81"/>
            <rFont val="Tahoma"/>
            <family val="2"/>
          </rPr>
          <t xml:space="preserve">
one time plus ongoing</t>
        </r>
      </text>
    </comment>
    <comment ref="AB41" authorId="1" shapeId="0" xr:uid="{00000000-0006-0000-0300-000021000000}">
      <text>
        <r>
          <rPr>
            <b/>
            <sz val="9"/>
            <color indexed="81"/>
            <rFont val="Tahoma"/>
            <family val="2"/>
          </rPr>
          <t>Blackwood, Kathy:</t>
        </r>
        <r>
          <rPr>
            <sz val="9"/>
            <color indexed="81"/>
            <rFont val="Tahoma"/>
            <family val="2"/>
          </rPr>
          <t xml:space="preserve">
one time plus ongoing</t>
        </r>
      </text>
    </comment>
    <comment ref="AB43" authorId="1" shapeId="0" xr:uid="{00000000-0006-0000-0300-000022000000}">
      <text>
        <r>
          <rPr>
            <b/>
            <sz val="9"/>
            <color indexed="81"/>
            <rFont val="Tahoma"/>
            <family val="2"/>
          </rPr>
          <t>Blackwood, Kathy:</t>
        </r>
        <r>
          <rPr>
            <sz val="9"/>
            <color indexed="81"/>
            <rFont val="Tahoma"/>
            <family val="2"/>
          </rPr>
          <t xml:space="preserve">
one time plus ongoing</t>
        </r>
      </text>
    </comment>
    <comment ref="AB44" authorId="1" shapeId="0" xr:uid="{00000000-0006-0000-0300-000023000000}">
      <text>
        <r>
          <rPr>
            <b/>
            <sz val="9"/>
            <color indexed="81"/>
            <rFont val="Tahoma"/>
            <family val="2"/>
          </rPr>
          <t>Blackwood, Kathy:</t>
        </r>
        <r>
          <rPr>
            <sz val="9"/>
            <color indexed="81"/>
            <rFont val="Tahoma"/>
            <family val="2"/>
          </rPr>
          <t xml:space="preserve">
one time plus ongoing</t>
        </r>
      </text>
    </comment>
    <comment ref="AB45" authorId="1" shapeId="0" xr:uid="{00000000-0006-0000-0300-000024000000}">
      <text>
        <r>
          <rPr>
            <b/>
            <sz val="9"/>
            <color indexed="81"/>
            <rFont val="Tahoma"/>
            <family val="2"/>
          </rPr>
          <t>Blackwood, Kathy:</t>
        </r>
        <r>
          <rPr>
            <sz val="9"/>
            <color indexed="81"/>
            <rFont val="Tahoma"/>
            <family val="2"/>
          </rPr>
          <t xml:space="preserve">
one time plus ongoing</t>
        </r>
      </text>
    </comment>
    <comment ref="AB46" authorId="1" shapeId="0" xr:uid="{00000000-0006-0000-0300-000025000000}">
      <text>
        <r>
          <rPr>
            <b/>
            <sz val="9"/>
            <color indexed="81"/>
            <rFont val="Tahoma"/>
            <family val="2"/>
          </rPr>
          <t>Blackwood, Kathy:</t>
        </r>
        <r>
          <rPr>
            <sz val="9"/>
            <color indexed="81"/>
            <rFont val="Tahoma"/>
            <family val="2"/>
          </rPr>
          <t xml:space="preserve">
one time plus ongoing</t>
        </r>
      </text>
    </comment>
    <comment ref="AC46" authorId="1" shapeId="0" xr:uid="{00000000-0006-0000-0300-000026000000}">
      <text>
        <r>
          <rPr>
            <b/>
            <sz val="9"/>
            <color indexed="81"/>
            <rFont val="Tahoma"/>
            <family val="2"/>
          </rPr>
          <t>Blackwood, Kathy:</t>
        </r>
        <r>
          <rPr>
            <sz val="9"/>
            <color indexed="81"/>
            <rFont val="Tahoma"/>
            <family val="2"/>
          </rPr>
          <t xml:space="preserve">
Adjusted to take out redistricting and add election -- no election 17/18, added $100K for HR</t>
        </r>
      </text>
    </comment>
    <comment ref="AD46" authorId="1" shapeId="0" xr:uid="{00000000-0006-0000-0300-000027000000}">
      <text>
        <r>
          <rPr>
            <b/>
            <sz val="9"/>
            <color indexed="81"/>
            <rFont val="Tahoma"/>
            <family val="2"/>
          </rPr>
          <t>Blackwood, Kathy:</t>
        </r>
        <r>
          <rPr>
            <sz val="9"/>
            <color indexed="81"/>
            <rFont val="Tahoma"/>
            <family val="2"/>
          </rPr>
          <t xml:space="preserve">
$500K for election</t>
        </r>
      </text>
    </comment>
    <comment ref="AB47" authorId="1" shapeId="0" xr:uid="{00000000-0006-0000-0300-000028000000}">
      <text>
        <r>
          <rPr>
            <b/>
            <sz val="9"/>
            <color indexed="81"/>
            <rFont val="Tahoma"/>
            <family val="2"/>
          </rPr>
          <t>Blackwood, Kathy:</t>
        </r>
        <r>
          <rPr>
            <sz val="9"/>
            <color indexed="81"/>
            <rFont val="Tahoma"/>
            <family val="2"/>
          </rPr>
          <t xml:space="preserve">
one time plus ongoing</t>
        </r>
      </text>
    </comment>
    <comment ref="AB48" authorId="1" shapeId="0" xr:uid="{00000000-0006-0000-0300-000029000000}">
      <text>
        <r>
          <rPr>
            <b/>
            <sz val="9"/>
            <color indexed="81"/>
            <rFont val="Tahoma"/>
            <family val="2"/>
          </rPr>
          <t>Blackwood, Kathy:</t>
        </r>
        <r>
          <rPr>
            <sz val="9"/>
            <color indexed="81"/>
            <rFont val="Tahoma"/>
            <family val="2"/>
          </rPr>
          <t xml:space="preserve">
one time plus ongoing</t>
        </r>
      </text>
    </comment>
    <comment ref="AD48" authorId="3" shapeId="0" xr:uid="{00000000-0006-0000-0300-00002A000000}">
      <text>
        <r>
          <rPr>
            <b/>
            <sz val="10"/>
            <color indexed="81"/>
            <rFont val="Calibri"/>
            <family val="2"/>
          </rPr>
          <t>add $17,500 for EMSI DW contract</t>
        </r>
      </text>
    </comment>
    <comment ref="AB49" authorId="1" shapeId="0" xr:uid="{00000000-0006-0000-0300-00002B000000}">
      <text>
        <r>
          <rPr>
            <b/>
            <sz val="9"/>
            <color indexed="81"/>
            <rFont val="Tahoma"/>
            <family val="2"/>
          </rPr>
          <t>Blackwood, Kathy:</t>
        </r>
        <r>
          <rPr>
            <sz val="9"/>
            <color indexed="81"/>
            <rFont val="Tahoma"/>
            <family val="2"/>
          </rPr>
          <t xml:space="preserve">
one time plus ongoing</t>
        </r>
      </text>
    </comment>
    <comment ref="AB50" authorId="1" shapeId="0" xr:uid="{00000000-0006-0000-0300-00002C000000}">
      <text>
        <r>
          <rPr>
            <b/>
            <sz val="9"/>
            <color indexed="81"/>
            <rFont val="Tahoma"/>
            <family val="2"/>
          </rPr>
          <t>Blackwood, Kathy:</t>
        </r>
        <r>
          <rPr>
            <sz val="9"/>
            <color indexed="81"/>
            <rFont val="Tahoma"/>
            <family val="2"/>
          </rPr>
          <t xml:space="preserve">
one time plus ongoing</t>
        </r>
      </text>
    </comment>
    <comment ref="AB51" authorId="1" shapeId="0" xr:uid="{00000000-0006-0000-0300-00002D000000}">
      <text>
        <r>
          <rPr>
            <b/>
            <sz val="9"/>
            <color indexed="81"/>
            <rFont val="Tahoma"/>
            <family val="2"/>
          </rPr>
          <t>Blackwood, Kathy:</t>
        </r>
        <r>
          <rPr>
            <sz val="9"/>
            <color indexed="81"/>
            <rFont val="Tahoma"/>
            <family val="2"/>
          </rPr>
          <t xml:space="preserve">
one time plus ongoing</t>
        </r>
      </text>
    </comment>
    <comment ref="O56" authorId="0" shapeId="0" xr:uid="{00000000-0006-0000-0300-00002E000000}">
      <text>
        <r>
          <rPr>
            <b/>
            <sz val="8"/>
            <color indexed="81"/>
            <rFont val="Tahoma"/>
            <family val="2"/>
          </rPr>
          <t>smcccd:</t>
        </r>
        <r>
          <rPr>
            <sz val="8"/>
            <color indexed="81"/>
            <rFont val="Tahoma"/>
            <family val="2"/>
          </rPr>
          <t xml:space="preserve">
Net gain as of 8/4/05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smcccd</author>
    <author>Blackwood, Kathy</author>
    <author>Public</author>
  </authors>
  <commentList>
    <comment ref="P9" authorId="0" shapeId="0" xr:uid="{00000000-0006-0000-0400-000001000000}">
      <text>
        <r>
          <rPr>
            <b/>
            <sz val="10"/>
            <color indexed="81"/>
            <rFont val="Tahoma"/>
            <family val="2"/>
          </rPr>
          <t>smcccd:</t>
        </r>
        <r>
          <rPr>
            <sz val="10"/>
            <color indexed="81"/>
            <rFont val="Tahoma"/>
            <family val="2"/>
          </rPr>
          <t xml:space="preserve">
includes 4.23% COLA, PFE, new PFE funding and Equal (but not new equal $)</t>
        </r>
        <r>
          <rPr>
            <sz val="8"/>
            <color indexed="81"/>
            <rFont val="Tahoma"/>
            <family val="2"/>
          </rPr>
          <t xml:space="preserve">
</t>
        </r>
      </text>
    </comment>
    <comment ref="O11" authorId="0" shapeId="0" xr:uid="{00000000-0006-0000-0400-000002000000}">
      <text>
        <r>
          <rPr>
            <b/>
            <sz val="8"/>
            <color indexed="81"/>
            <rFont val="Tahoma"/>
            <family val="2"/>
          </rPr>
          <t>smcccd:</t>
        </r>
        <r>
          <rPr>
            <sz val="8"/>
            <color indexed="81"/>
            <rFont val="Tahoma"/>
            <family val="2"/>
          </rPr>
          <t xml:space="preserve">
</t>
        </r>
        <r>
          <rPr>
            <sz val="10"/>
            <color indexed="81"/>
            <rFont val="Tahoma"/>
            <family val="2"/>
          </rPr>
          <t>prior year</t>
        </r>
      </text>
    </comment>
    <comment ref="Z11" authorId="1" shapeId="0" xr:uid="{00000000-0006-0000-0400-000003000000}">
      <text>
        <r>
          <rPr>
            <b/>
            <sz val="9"/>
            <color indexed="81"/>
            <rFont val="Tahoma"/>
            <family val="2"/>
          </rPr>
          <t>Blackwood, Kathy:</t>
        </r>
        <r>
          <rPr>
            <sz val="9"/>
            <color indexed="81"/>
            <rFont val="Tahoma"/>
            <family val="2"/>
          </rPr>
          <t xml:space="preserve">
per advance apportionment</t>
        </r>
      </text>
    </comment>
    <comment ref="O14" authorId="0" shapeId="0" xr:uid="{00000000-0006-0000-0400-000004000000}">
      <text>
        <r>
          <rPr>
            <b/>
            <sz val="8"/>
            <color indexed="81"/>
            <rFont val="Tahoma"/>
            <family val="2"/>
          </rPr>
          <t>smcccd:</t>
        </r>
        <r>
          <rPr>
            <sz val="8"/>
            <color indexed="81"/>
            <rFont val="Tahoma"/>
            <family val="2"/>
          </rPr>
          <t xml:space="preserve">
incl accrual</t>
        </r>
      </text>
    </comment>
    <comment ref="S31" authorId="2" shapeId="0" xr:uid="{00000000-0006-0000-0400-000005000000}">
      <text>
        <r>
          <rPr>
            <b/>
            <sz val="8"/>
            <color indexed="81"/>
            <rFont val="Tahoma"/>
            <family val="2"/>
          </rPr>
          <t>Public:</t>
        </r>
        <r>
          <rPr>
            <sz val="8"/>
            <color indexed="81"/>
            <rFont val="Tahoma"/>
            <family val="2"/>
          </rPr>
          <t xml:space="preserve">
These site allocations include everything in the Resource Alloc page but do not include the one time funds.</t>
        </r>
      </text>
    </comment>
    <comment ref="O56" authorId="0" shapeId="0" xr:uid="{00000000-0006-0000-0400-000006000000}">
      <text>
        <r>
          <rPr>
            <b/>
            <sz val="8"/>
            <color indexed="81"/>
            <rFont val="Tahoma"/>
            <family val="2"/>
          </rPr>
          <t>smcccd:</t>
        </r>
        <r>
          <rPr>
            <sz val="8"/>
            <color indexed="81"/>
            <rFont val="Tahoma"/>
            <family val="2"/>
          </rPr>
          <t xml:space="preserve">
Net gain as of 8/4/05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smcccd</author>
  </authors>
  <commentList>
    <comment ref="C117" authorId="0" shapeId="0" xr:uid="{00000000-0006-0000-0500-000001000000}">
      <text>
        <r>
          <rPr>
            <b/>
            <sz val="8"/>
            <color indexed="81"/>
            <rFont val="Tahoma"/>
            <family val="2"/>
          </rPr>
          <t>smcccd:</t>
        </r>
        <r>
          <rPr>
            <sz val="8"/>
            <color indexed="81"/>
            <rFont val="Tahoma"/>
            <family val="2"/>
          </rPr>
          <t xml:space="preserve">
at 1/2 of percentage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smcccd</author>
  </authors>
  <commentList>
    <comment ref="F62" authorId="0" shapeId="0" xr:uid="{00000000-0006-0000-0600-000001000000}">
      <text>
        <r>
          <rPr>
            <b/>
            <sz val="10"/>
            <color indexed="81"/>
            <rFont val="Calibri"/>
            <family val="2"/>
          </rPr>
          <t>Microsoft Office User:</t>
        </r>
        <r>
          <rPr>
            <sz val="10"/>
            <color indexed="81"/>
            <rFont val="Calibri"/>
            <family val="2"/>
          </rPr>
          <t xml:space="preserve">
emoving $300K one time vehicle allocation from PY</t>
        </r>
      </text>
    </comment>
    <comment ref="C117" authorId="1" shapeId="0" xr:uid="{00000000-0006-0000-0600-000002000000}">
      <text>
        <r>
          <rPr>
            <b/>
            <sz val="8"/>
            <color indexed="81"/>
            <rFont val="Tahoma"/>
            <family val="2"/>
          </rPr>
          <t>smcccd:</t>
        </r>
        <r>
          <rPr>
            <sz val="8"/>
            <color indexed="81"/>
            <rFont val="Tahoma"/>
            <family val="2"/>
          </rPr>
          <t xml:space="preserve">
at 1/2 of percentage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Blackwood, Kathy</author>
    <author>Microsoft Office User</author>
    <author>smcccd</author>
  </authors>
  <commentList>
    <comment ref="B62" authorId="0" shapeId="0" xr:uid="{00000000-0006-0000-0700-000001000000}">
      <text>
        <r>
          <rPr>
            <b/>
            <sz val="9"/>
            <color indexed="81"/>
            <rFont val="Tahoma"/>
            <family val="2"/>
          </rPr>
          <t>Blackwood, Kathy:</t>
        </r>
        <r>
          <rPr>
            <sz val="9"/>
            <color indexed="81"/>
            <rFont val="Tahoma"/>
            <family val="2"/>
          </rPr>
          <t xml:space="preserve">
($438561) to fix 15/16 budget error 3 years only</t>
        </r>
      </text>
    </comment>
    <comment ref="F62" authorId="1" shapeId="0" xr:uid="{00000000-0006-0000-0700-000002000000}">
      <text>
        <r>
          <rPr>
            <b/>
            <sz val="10"/>
            <color indexed="81"/>
            <rFont val="Calibri"/>
            <family val="2"/>
          </rPr>
          <t>M300K for vehicle purchases-one time</t>
        </r>
      </text>
    </comment>
    <comment ref="G62" authorId="1" shapeId="0" xr:uid="{00000000-0006-0000-0700-000003000000}">
      <text>
        <r>
          <rPr>
            <b/>
            <sz val="10"/>
            <color indexed="81"/>
            <rFont val="Calibri"/>
            <family val="2"/>
          </rPr>
          <t>10000-1046-XXXX-XXXXXX</t>
        </r>
      </text>
    </comment>
    <comment ref="C117" authorId="2" shapeId="0" xr:uid="{00000000-0006-0000-0700-000004000000}">
      <text>
        <r>
          <rPr>
            <b/>
            <sz val="8"/>
            <color indexed="81"/>
            <rFont val="Tahoma"/>
            <family val="2"/>
          </rPr>
          <t>smcccd:</t>
        </r>
        <r>
          <rPr>
            <sz val="8"/>
            <color indexed="81"/>
            <rFont val="Tahoma"/>
            <family val="2"/>
          </rPr>
          <t xml:space="preserve">
at 1/2 of percentage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Blackwood, Kathy</author>
    <author>smcccd</author>
  </authors>
  <commentList>
    <comment ref="G59" authorId="0" shapeId="0" xr:uid="{00000000-0006-0000-0800-000001000000}">
      <text>
        <r>
          <rPr>
            <b/>
            <sz val="10"/>
            <color indexed="81"/>
            <rFont val="Calibri"/>
            <family val="2"/>
          </rPr>
          <t xml:space="preserve">Mincludes  17/18 step and column for AFT
</t>
        </r>
      </text>
    </comment>
    <comment ref="G60" authorId="0" shapeId="0" xr:uid="{00000000-0006-0000-0800-000002000000}">
      <text>
        <r>
          <rPr>
            <b/>
            <sz val="10"/>
            <color indexed="81"/>
            <rFont val="Calibri"/>
            <family val="2"/>
          </rPr>
          <t xml:space="preserve">
17/18 AFT settlement  </t>
        </r>
      </text>
    </comment>
    <comment ref="B67" authorId="1" shapeId="0" xr:uid="{00000000-0006-0000-0800-000003000000}">
      <text>
        <r>
          <rPr>
            <b/>
            <sz val="9"/>
            <color indexed="81"/>
            <rFont val="Tahoma"/>
            <family val="2"/>
          </rPr>
          <t>Blackwood, Kathy:</t>
        </r>
        <r>
          <rPr>
            <sz val="9"/>
            <color indexed="81"/>
            <rFont val="Tahoma"/>
            <family val="2"/>
          </rPr>
          <t xml:space="preserve">
($438561) to fix 15/16 budget error 3 years only</t>
        </r>
      </text>
    </comment>
    <comment ref="F67" authorId="1" shapeId="0" xr:uid="{00000000-0006-0000-0800-000004000000}">
      <text>
        <r>
          <rPr>
            <b/>
            <sz val="9"/>
            <color indexed="81"/>
            <rFont val="Tahoma"/>
            <family val="2"/>
          </rPr>
          <t>Blackwood, Kathy:</t>
        </r>
        <r>
          <rPr>
            <sz val="9"/>
            <color indexed="81"/>
            <rFont val="Tahoma"/>
            <family val="2"/>
          </rPr>
          <t xml:space="preserve">
Public Safety augmentation (Emerg Prep Coord &amp; 2 Dispatchers)
</t>
        </r>
      </text>
    </comment>
    <comment ref="C68" authorId="1" shapeId="0" xr:uid="{00000000-0006-0000-0800-000005000000}">
      <text>
        <r>
          <rPr>
            <b/>
            <sz val="9"/>
            <color indexed="81"/>
            <rFont val="Tahoma"/>
            <family val="2"/>
          </rPr>
          <t>Blackwood, Kathy:</t>
        </r>
        <r>
          <rPr>
            <sz val="9"/>
            <color indexed="81"/>
            <rFont val="Tahoma"/>
            <family val="2"/>
          </rPr>
          <t xml:space="preserve">
Early College HS</t>
        </r>
      </text>
    </comment>
    <comment ref="C122" authorId="2" shapeId="0" xr:uid="{00000000-0006-0000-0800-000006000000}">
      <text>
        <r>
          <rPr>
            <b/>
            <sz val="8"/>
            <color indexed="81"/>
            <rFont val="Tahoma"/>
            <family val="2"/>
          </rPr>
          <t>smcccd:</t>
        </r>
        <r>
          <rPr>
            <sz val="8"/>
            <color indexed="81"/>
            <rFont val="Tahoma"/>
            <family val="2"/>
          </rPr>
          <t xml:space="preserve">
at 1/2 of percentage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Blackwood, Kathy</author>
    <author>smcccd</author>
  </authors>
  <commentList>
    <comment ref="H61" authorId="0" shapeId="0" xr:uid="{00000000-0006-0000-0900-000001000000}">
      <text>
        <r>
          <rPr>
            <b/>
            <sz val="9"/>
            <color indexed="81"/>
            <rFont val="Tahoma"/>
            <family val="2"/>
          </rPr>
          <t>Blackwood, Kathy:</t>
        </r>
        <r>
          <rPr>
            <sz val="9"/>
            <color indexed="81"/>
            <rFont val="Tahoma"/>
            <family val="2"/>
          </rPr>
          <t xml:space="preserve">
Updated for 16/17</t>
        </r>
      </text>
    </comment>
    <comment ref="B62" authorId="0" shapeId="0" xr:uid="{00000000-0006-0000-0900-000002000000}">
      <text>
        <r>
          <rPr>
            <b/>
            <sz val="9"/>
            <color indexed="81"/>
            <rFont val="Tahoma"/>
            <family val="2"/>
          </rPr>
          <t>Blackwood, Kathy:</t>
        </r>
        <r>
          <rPr>
            <sz val="9"/>
            <color indexed="81"/>
            <rFont val="Tahoma"/>
            <family val="2"/>
          </rPr>
          <t xml:space="preserve">
$25K Sparkpoint
($438561) to fix 15/16 budget error 3 years only</t>
        </r>
      </text>
    </comment>
    <comment ref="G62" authorId="0" shapeId="0" xr:uid="{00000000-0006-0000-0900-000003000000}">
      <text>
        <r>
          <rPr>
            <b/>
            <sz val="9"/>
            <color indexed="81"/>
            <rFont val="Tahoma"/>
            <family val="2"/>
          </rPr>
          <t>Blackwood, Kathy:</t>
        </r>
        <r>
          <rPr>
            <sz val="9"/>
            <color indexed="81"/>
            <rFont val="Tahoma"/>
            <family val="2"/>
          </rPr>
          <t xml:space="preserve">
Accessibility Specialist $94K
$25K Sparkpoint to each of Can and Sky</t>
        </r>
      </text>
    </comment>
    <comment ref="B63" authorId="0" shapeId="0" xr:uid="{00000000-0006-0000-0900-000004000000}">
      <text>
        <r>
          <rPr>
            <b/>
            <sz val="9"/>
            <color indexed="81"/>
            <rFont val="Tahoma"/>
            <family val="2"/>
          </rPr>
          <t>Blackwood, Kathy:</t>
        </r>
        <r>
          <rPr>
            <sz val="9"/>
            <color indexed="81"/>
            <rFont val="Tahoma"/>
            <family val="2"/>
          </rPr>
          <t xml:space="preserve">
$600K for 15/16 and 16/17 for Middle College, then ongoing to Canada for Early College
$200 for Sparkpoint</t>
        </r>
      </text>
    </comment>
    <comment ref="C63" authorId="0" shapeId="0" xr:uid="{00000000-0006-0000-0900-000005000000}">
      <text>
        <r>
          <rPr>
            <b/>
            <sz val="9"/>
            <color indexed="81"/>
            <rFont val="Tahoma"/>
            <family val="2"/>
          </rPr>
          <t>Blackwood, Kathy:</t>
        </r>
        <r>
          <rPr>
            <sz val="9"/>
            <color indexed="81"/>
            <rFont val="Tahoma"/>
            <family val="2"/>
          </rPr>
          <t xml:space="preserve">
Sparkpoint</t>
        </r>
      </text>
    </comment>
    <comment ref="D63" authorId="0" shapeId="0" xr:uid="{00000000-0006-0000-0900-000006000000}">
      <text>
        <r>
          <rPr>
            <b/>
            <sz val="9"/>
            <color indexed="81"/>
            <rFont val="Tahoma"/>
            <family val="2"/>
          </rPr>
          <t>Blackwood, Kathy:</t>
        </r>
        <r>
          <rPr>
            <sz val="9"/>
            <color indexed="81"/>
            <rFont val="Tahoma"/>
            <family val="2"/>
          </rPr>
          <t xml:space="preserve">
$150 Project Change
$350 SI and Freshman Success</t>
        </r>
      </text>
    </comment>
    <comment ref="C117" authorId="1" shapeId="0" xr:uid="{00000000-0006-0000-0900-000007000000}">
      <text>
        <r>
          <rPr>
            <b/>
            <sz val="8"/>
            <color indexed="81"/>
            <rFont val="Tahoma"/>
            <family val="2"/>
          </rPr>
          <t>smcccd:</t>
        </r>
        <r>
          <rPr>
            <sz val="8"/>
            <color indexed="81"/>
            <rFont val="Tahoma"/>
            <family val="2"/>
          </rPr>
          <t xml:space="preserve">
at 1/2 of percentage
</t>
        </r>
      </text>
    </comment>
  </commentList>
</comments>
</file>

<file path=xl/sharedStrings.xml><?xml version="1.0" encoding="utf-8"?>
<sst xmlns="http://schemas.openxmlformats.org/spreadsheetml/2006/main" count="6449" uniqueCount="1940">
  <si>
    <t>subtotal (utilities)</t>
  </si>
  <si>
    <t>monitoring svc (5652)</t>
  </si>
  <si>
    <t>maintenance svc (5654)</t>
  </si>
  <si>
    <t>license/permit fees (5830)</t>
  </si>
  <si>
    <t>subtotal (special needs)</t>
  </si>
  <si>
    <t>* KCSM utilities usage and DW phone usage is not included in this projection.</t>
  </si>
  <si>
    <t>5) 2.21% state funded growth.</t>
  </si>
  <si>
    <r>
      <t xml:space="preserve">Non-Res </t>
    </r>
    <r>
      <rPr>
        <sz val="10"/>
        <color indexed="10"/>
        <rFont val="Arial"/>
        <family val="2"/>
      </rPr>
      <t>(PA)</t>
    </r>
  </si>
  <si>
    <r>
      <t xml:space="preserve">Apprenticeship </t>
    </r>
    <r>
      <rPr>
        <sz val="10"/>
        <color indexed="10"/>
        <rFont val="Arial"/>
        <family val="2"/>
      </rPr>
      <t>(PA)</t>
    </r>
  </si>
  <si>
    <t>With the small growth, this means that the 10/11 goal is just about the same</t>
  </si>
  <si>
    <t>as the 09/10 goal instead of smaller.</t>
  </si>
  <si>
    <t>Position Cntl Benefits</t>
  </si>
  <si>
    <t>7) 1.8% inflation on certain expenses.</t>
  </si>
  <si>
    <t>5. District Office &amp; Facilities gets 14% and 5% respectively of college growth allocations.</t>
  </si>
  <si>
    <t>Calculate 14% and 5% of allocations in #4.</t>
  </si>
  <si>
    <t>11/12 Revenue</t>
  </si>
  <si>
    <t>13/14</t>
  </si>
  <si>
    <t>3) 11/12 Non-resident FTES changes at same rate as average of last 3 years</t>
  </si>
  <si>
    <t>Change from 12/13</t>
  </si>
  <si>
    <t>2013-14</t>
  </si>
  <si>
    <t>Resource Allocation: 13/14 Budget Scenario</t>
  </si>
  <si>
    <t>Based on 13/14 Budget</t>
  </si>
  <si>
    <t>No change estimated</t>
  </si>
  <si>
    <t>13/14 FTES</t>
  </si>
  <si>
    <t>Based on FTES Goals for 13/14</t>
  </si>
  <si>
    <t>Add 0% COLA to 12/13 per FTES allocation of $3729 to get $3729 per FTES.</t>
  </si>
  <si>
    <t>Allocate 13/14 projected step and column increases.  Allocate compensation where settled and reserve where not settled.</t>
  </si>
  <si>
    <t>13/14 COLA</t>
  </si>
  <si>
    <t>Sum the 12/13 Site Allocations with all of the adjustments.</t>
  </si>
  <si>
    <t>13/14 Site Allocations</t>
  </si>
  <si>
    <r>
      <t>Assumptions:</t>
    </r>
    <r>
      <rPr>
        <sz val="10"/>
        <rFont val="Arial"/>
        <family val="2"/>
      </rPr>
      <t xml:space="preserve">  This page lists the assumptions that were used during the budgeting process.  Not all of them are used throughout </t>
    </r>
  </si>
  <si>
    <t xml:space="preserve">the entire process.  For instance, the inflation number was used until we received good budget numbers for certain items.  The other </t>
  </si>
  <si>
    <t>Assumptions for FTES, including shifting between years</t>
  </si>
  <si>
    <t>09/10 Goals were based on 08/09 P2, not on PA</t>
  </si>
  <si>
    <r>
      <t xml:space="preserve">09/10 FTES </t>
    </r>
    <r>
      <rPr>
        <sz val="10"/>
        <color indexed="10"/>
        <rFont val="Arial"/>
        <family val="2"/>
      </rPr>
      <t>(P2)</t>
    </r>
  </si>
  <si>
    <t>Based on 2009/10 P-1 funded FTES</t>
  </si>
  <si>
    <t>Kathy/Rachelle,</t>
  </si>
  <si>
    <t>Attached is the modified utility projection for FY10-11 less the chargebacks for Auxiliary Dept.  It’s about a $265K decrease from my original projection. I removed 7.5% from electricity, gas, water, and garbage projected expenses.</t>
  </si>
  <si>
    <t>Description</t>
  </si>
  <si>
    <t>Projected</t>
  </si>
  <si>
    <t>FY1011 Expense</t>
  </si>
  <si>
    <t>electricity (5512)</t>
  </si>
  <si>
    <t>gas (5511)</t>
  </si>
  <si>
    <t>water (5513)</t>
  </si>
  <si>
    <t>phone (5514)</t>
  </si>
  <si>
    <t>garbage (5515)</t>
  </si>
  <si>
    <t>exterminator (5518)</t>
  </si>
  <si>
    <t>Add 0% COLA to 10/11 per FTES allocation of $3789 to get $3789 per FTES.</t>
  </si>
  <si>
    <t>Assume the district receives 0% growth and no budget stability.  Hold aside unallocated resources.</t>
  </si>
  <si>
    <t>Add 0% COLA to 11/12 per FTES allocation of $3729 to get $3729 per FTES.</t>
  </si>
  <si>
    <t xml:space="preserve">Other </t>
  </si>
  <si>
    <t>Insurance Costs</t>
  </si>
  <si>
    <t>Sedgwick</t>
  </si>
  <si>
    <t>CRS</t>
  </si>
  <si>
    <t>TPA</t>
  </si>
  <si>
    <t>Misc claims</t>
  </si>
  <si>
    <t>Malpractice</t>
  </si>
  <si>
    <t>Property</t>
  </si>
  <si>
    <t>Liability</t>
  </si>
  <si>
    <t>Excess Workers’ comp</t>
  </si>
  <si>
    <t>Brokers Fee</t>
  </si>
  <si>
    <t>SELF</t>
  </si>
  <si>
    <t>AD&amp;D</t>
  </si>
  <si>
    <t>2010/2011</t>
  </si>
  <si>
    <t>Legal/Election/Consultant</t>
  </si>
  <si>
    <t>Lehman Bros issue</t>
  </si>
  <si>
    <t>County counsel</t>
  </si>
  <si>
    <t>Lobbying firm</t>
  </si>
  <si>
    <t>Student accident ins. paid by campuses</t>
  </si>
  <si>
    <t>Election</t>
  </si>
  <si>
    <t>Audit</t>
  </si>
  <si>
    <t>None needed as yet; still have $600K in reserve</t>
  </si>
  <si>
    <t>Bad Debt</t>
  </si>
  <si>
    <t>3) 09/10 Non-resident FTES changes at same rate as average of last 2 years</t>
  </si>
  <si>
    <t>12) Student fees increase  to $32, 10% increase in BOG waivers</t>
  </si>
  <si>
    <r>
      <t xml:space="preserve">Resident </t>
    </r>
    <r>
      <rPr>
        <sz val="10"/>
        <color indexed="10"/>
        <rFont val="Arial"/>
        <family val="2"/>
      </rPr>
      <t>(Goal)</t>
    </r>
  </si>
  <si>
    <t>Add the two amounts together and compare to 09/10 Site Allocations</t>
  </si>
  <si>
    <t>Facilities Square Footage History and Planning (updated October 19, 2009)</t>
  </si>
  <si>
    <r>
      <t>Resource Alloc YY-YY:</t>
    </r>
    <r>
      <rPr>
        <sz val="10"/>
        <rFont val="Arial"/>
        <family val="2"/>
      </rPr>
      <t xml:space="preserve"> This page uses the resource allocation formula with the growth targets and increases in fixed and facilities</t>
    </r>
  </si>
  <si>
    <t>to the Revenues page.  The breakdown of Base Revenue is on this page.  This also includes an estimate of the property taxes.</t>
  </si>
  <si>
    <r>
      <t xml:space="preserve">COLA: </t>
    </r>
    <r>
      <rPr>
        <sz val="10"/>
        <rFont val="Arial"/>
        <family val="2"/>
      </rPr>
      <t>This page has the COLA info, tracks other compensation items and is recorded on the Resource Allocation page in Step 6.</t>
    </r>
  </si>
  <si>
    <r>
      <rPr>
        <b/>
        <sz val="10"/>
        <rFont val="Arial"/>
        <family val="2"/>
      </rPr>
      <t>Insurance</t>
    </r>
    <r>
      <rPr>
        <sz val="10"/>
        <rFont val="Arial"/>
        <family val="2"/>
      </rPr>
      <t>: This page tracks insurance, legal and consulting and other fixed costs.</t>
    </r>
  </si>
  <si>
    <t>Assumptions for 2013/14 Budget Scenario</t>
  </si>
  <si>
    <t>2) 13/14 FTES based on funded state growth over 12/13 FTES Goals and no shifting of FTES.</t>
  </si>
  <si>
    <t>Bldgs 10, 11 and 13</t>
  </si>
  <si>
    <t>Bldg 12</t>
  </si>
  <si>
    <t>Bldg 19</t>
  </si>
  <si>
    <t>Softball Teamhouse</t>
  </si>
  <si>
    <t>Softball Press Box</t>
  </si>
  <si>
    <t>Track and Football Plaza Bldg</t>
  </si>
  <si>
    <t>Bldg 5N</t>
  </si>
  <si>
    <t>Bldg 10N</t>
  </si>
  <si>
    <t>Bldgs 20-27, 29</t>
  </si>
  <si>
    <t xml:space="preserve">Bldg 1 </t>
  </si>
  <si>
    <r>
      <t xml:space="preserve">Bldg 2 
</t>
    </r>
    <r>
      <rPr>
        <sz val="8"/>
        <rFont val="Arial"/>
        <family val="2"/>
      </rPr>
      <t>(1/2 of 3rd fl in 2008; other 1/2 of 3rd fl and 1/3 of 1st fl in 2009)</t>
    </r>
  </si>
  <si>
    <t>Bldg 7</t>
  </si>
  <si>
    <t>Bldg 4N</t>
  </si>
  <si>
    <t>Bldg 11N</t>
  </si>
  <si>
    <t>Bldg 4</t>
  </si>
  <si>
    <t>Bldg 3A-E</t>
  </si>
  <si>
    <t>Email from Arlene:</t>
  </si>
  <si>
    <t>Hi Kathy,</t>
  </si>
  <si>
    <t>Debbie gave me a report that showed clearly how many positions were funded for FY9900 for Facilities.  Following is a breakdown:</t>
  </si>
  <si>
    <t>Campus Supes</t>
  </si>
  <si>
    <t>Cust &amp; Grnds Supes</t>
  </si>
  <si>
    <t>Grounds</t>
  </si>
  <si>
    <t>Engineers</t>
  </si>
  <si>
    <t>Custodians</t>
  </si>
  <si>
    <t>Staff Asst</t>
  </si>
  <si>
    <t>I gave you the sq footage for 2000 earlier this week and per our conversation, Linda and I are working on the projected add’l sf info.  Thanks.</t>
  </si>
  <si>
    <t>Arlene L. Calibo</t>
  </si>
  <si>
    <t>Based on Oct 2009 estimate</t>
  </si>
  <si>
    <t>Stephanie Scott</t>
  </si>
  <si>
    <t xml:space="preserve">1A0030 </t>
  </si>
  <si>
    <t>1C0228</t>
  </si>
  <si>
    <t>Roxanne Brewer</t>
  </si>
  <si>
    <t>2) 10/11 FTES based on funded state decline from 09/10 FTES Goals and no shifting of FTES.</t>
  </si>
  <si>
    <t>Excess over revenue limit</t>
  </si>
  <si>
    <t>Sum the 09/10 Site Allocations with all of the adjustments.</t>
  </si>
  <si>
    <t>0% COLA</t>
  </si>
  <si>
    <t>10/11 Revenue</t>
  </si>
  <si>
    <t>Based on 10/11 Budget</t>
  </si>
  <si>
    <t>4) 0% state revenue COLA.</t>
  </si>
  <si>
    <t>10/11 Costs</t>
  </si>
  <si>
    <t>Foundation Cut Proposal</t>
  </si>
  <si>
    <t>Current reimb</t>
  </si>
  <si>
    <t>District cost</t>
  </si>
  <si>
    <t>10% reduction to district</t>
  </si>
  <si>
    <t>Additional cost to foundation</t>
  </si>
  <si>
    <t>New foundation cost</t>
  </si>
  <si>
    <t>13) $4.8M budget cut from base apportionment (incl deficit factor)</t>
  </si>
  <si>
    <t>3) 10/11 Non-resident FTES changes at same rate as average of last 2 years</t>
  </si>
  <si>
    <t>2 year change</t>
  </si>
  <si>
    <t>Property Taxes after deficit</t>
  </si>
  <si>
    <t>Student fees</t>
  </si>
  <si>
    <t>State apportionment</t>
  </si>
  <si>
    <t>Add the two amounts together and compare to 08/09 Site Allocations</t>
  </si>
  <si>
    <t>3. Allocate $1.84 per square foot increase over previous year.</t>
  </si>
  <si>
    <t>5. District Office &amp; Facilities gets 13% and 5% respectively of college growth allocations.</t>
  </si>
  <si>
    <t>Calculate 13% and 5% of allocations in #4.</t>
  </si>
  <si>
    <t>Other (security consol)</t>
  </si>
  <si>
    <t>Increase (Decrease)</t>
  </si>
  <si>
    <t>Carrie Ridge</t>
  </si>
  <si>
    <t>Vacant</t>
  </si>
  <si>
    <t>Admin Assistant: Roxanne Brewer</t>
  </si>
  <si>
    <t>10) State rev COLA minus 1% for salary compensation settlement.</t>
  </si>
  <si>
    <t>11) Fixed costs based on best guess for now.</t>
  </si>
  <si>
    <t>12) Apprenticeship does not go away for CSM</t>
  </si>
  <si>
    <t>Property Taxes and Basic Aid Calc</t>
  </si>
  <si>
    <t>Revenue Limit</t>
  </si>
  <si>
    <t>Property Taxes prior to deficit</t>
  </si>
  <si>
    <t>Student Fees</t>
  </si>
  <si>
    <t>Property tax increase</t>
  </si>
  <si>
    <t>Actual revenue</t>
  </si>
  <si>
    <t>State apportionment before ERAF deficit</t>
  </si>
  <si>
    <t>Property tax increment if basic aid</t>
  </si>
  <si>
    <t>7) .8% inflation on certain expenses.</t>
  </si>
  <si>
    <t>7) 1.9% inflation on certain expenses.</t>
  </si>
  <si>
    <t>Should be max of $120,000</t>
  </si>
  <si>
    <t>Decline</t>
  </si>
  <si>
    <t>Stability</t>
  </si>
  <si>
    <t>2) 09/10 FTES based on funded state growth over 08/09 FTES Goals and no new shifting of FTES.</t>
  </si>
  <si>
    <t>Compensation Contingency for 09/10 Simulation</t>
  </si>
  <si>
    <t>Less 08/09 budget</t>
  </si>
  <si>
    <t>CSEA Bay Ten survey, Less 08/09 $100K for Classf supvs &amp; prof survey not used</t>
  </si>
  <si>
    <t>5) 0% state funded growth.</t>
  </si>
  <si>
    <t>Other</t>
  </si>
  <si>
    <t>FTES P2</t>
  </si>
  <si>
    <r>
      <t>As of June 30</t>
    </r>
    <r>
      <rPr>
        <vertAlign val="superscript"/>
        <sz val="11"/>
        <rFont val="Calibri"/>
        <family val="2"/>
      </rPr>
      <t>th</t>
    </r>
    <r>
      <rPr>
        <sz val="11"/>
        <rFont val="Calibri"/>
        <family val="2"/>
      </rPr>
      <t>, here’s what I have for benefits:</t>
    </r>
  </si>
  <si>
    <t>Fund</t>
  </si>
  <si>
    <t>Type</t>
  </si>
  <si>
    <t>Amount</t>
  </si>
  <si>
    <t>1--all</t>
  </si>
  <si>
    <t>PC</t>
  </si>
  <si>
    <t>1A</t>
  </si>
  <si>
    <t>1C</t>
  </si>
  <si>
    <t>HRLY</t>
  </si>
  <si>
    <t>Fund 6</t>
  </si>
  <si>
    <t>Fund 3 (Parking)</t>
  </si>
  <si>
    <t>14) Student fees increase from $20 to $26, 10% increase in BOG waivers</t>
  </si>
  <si>
    <t>Based on FTES Goals for 10/11</t>
  </si>
  <si>
    <t>8) Utilities and benefits are based on Arlene and Banner.</t>
  </si>
  <si>
    <t>This gives a two year decline %, fixing the P-2/PA problem for 09/10</t>
  </si>
  <si>
    <t xml:space="preserve">12) No student fees increase </t>
  </si>
  <si>
    <t>Redevelopment AB1290</t>
  </si>
  <si>
    <t>Campus Name</t>
  </si>
  <si>
    <t>ASF</t>
  </si>
  <si>
    <t>Canada College</t>
  </si>
  <si>
    <t>College Of San Mateo</t>
  </si>
  <si>
    <t>Skyline College</t>
  </si>
  <si>
    <t>Fall 2009 Space Inventory Report</t>
  </si>
  <si>
    <r>
      <t xml:space="preserve">Facilities Square Footage History and Planning (updated </t>
    </r>
    <r>
      <rPr>
        <b/>
        <sz val="10"/>
        <color indexed="10"/>
        <rFont val="Arial"/>
        <family val="2"/>
      </rPr>
      <t>October 2009</t>
    </r>
    <r>
      <rPr>
        <b/>
        <sz val="10"/>
        <rFont val="Arial"/>
        <family val="2"/>
      </rPr>
      <t>)</t>
    </r>
  </si>
  <si>
    <t>FTE Cust, Engr, Supes</t>
  </si>
  <si>
    <t>GSF/FTE</t>
  </si>
  <si>
    <t>FTE needed to keep same ratio as 2000</t>
  </si>
  <si>
    <t>CALENDAR YEAR</t>
  </si>
  <si>
    <r>
      <t xml:space="preserve">Bldg 1
</t>
    </r>
    <r>
      <rPr>
        <sz val="8"/>
        <rFont val="Arial"/>
        <family val="2"/>
      </rPr>
      <t>(Facilities area in 2009; balance in 2010)</t>
    </r>
  </si>
  <si>
    <t>Bldg 5 and 6</t>
  </si>
  <si>
    <t>Bldg 8</t>
  </si>
  <si>
    <t>Bldg 13</t>
  </si>
  <si>
    <t>Press Box</t>
  </si>
  <si>
    <t>Facilities Maintenance Center</t>
  </si>
  <si>
    <t>Bldgs 2, 4, and 14</t>
  </si>
  <si>
    <t>Bldgs 5 and 6</t>
  </si>
  <si>
    <t>11) Fixed costs based on best estimates from depts.</t>
  </si>
  <si>
    <t>Change from 09/10</t>
  </si>
  <si>
    <t>Change from 10/11</t>
  </si>
  <si>
    <t>Special Need</t>
  </si>
  <si>
    <t>Needs 08/09 compensation increases distributed.</t>
  </si>
  <si>
    <t>Fiscal Year</t>
  </si>
  <si>
    <t>Service</t>
  </si>
  <si>
    <t>08-09</t>
  </si>
  <si>
    <t>09-10</t>
  </si>
  <si>
    <t>10-11</t>
  </si>
  <si>
    <t>11-12</t>
  </si>
  <si>
    <t>12-13</t>
  </si>
  <si>
    <t>Fire Alarm</t>
  </si>
  <si>
    <t>ACAMS</t>
  </si>
  <si>
    <t>Generator Maintenance</t>
  </si>
  <si>
    <t>BMS</t>
  </si>
  <si>
    <t>NOTES:</t>
  </si>
  <si>
    <t>Net Revenue</t>
  </si>
  <si>
    <t>6 months only since 6 months are included in 07/08 adjustment; includes stipends</t>
  </si>
  <si>
    <t>7) 5.66% inflation on certain expenses.</t>
  </si>
  <si>
    <t>14) Deducted apprenticeship FTES for plumbers</t>
  </si>
  <si>
    <t>Adopted Budget</t>
  </si>
  <si>
    <t>4) .68% state revenue COLA.</t>
  </si>
  <si>
    <t>5) 1.04% state funded growth.</t>
  </si>
  <si>
    <t>2) 08/09 FTES based on YTD increases for Sum &amp; Fall &amp; campus stated increases for Spring over 07/08 FTES P-A.</t>
  </si>
  <si>
    <t>10) 3%/.18%/0% salary compensation settlement.</t>
  </si>
  <si>
    <t>4) 0% funded state revenue COLA.</t>
  </si>
  <si>
    <t>Assumptions for 2012/13 Budget Scenario</t>
  </si>
  <si>
    <t>2) 12/13 FTES based on funded state growth over 11/12 FTES Goals and no shifting of FTES.</t>
  </si>
  <si>
    <t>12/13</t>
  </si>
  <si>
    <t>Change from 11/12</t>
  </si>
  <si>
    <t>2012-13</t>
  </si>
  <si>
    <t>Resource Allocation: 12/13 Budget Scenario</t>
  </si>
  <si>
    <t>Based on 12/13 Budget</t>
  </si>
  <si>
    <t>Change from Fall 11 to Fall 12 Space Inventory Report</t>
  </si>
  <si>
    <t>Based on FTES Goals for 12/13</t>
  </si>
  <si>
    <t>12/13 FTES</t>
  </si>
  <si>
    <t>Add .68% COLA to 08/09 per FTES allocation of $3763 to get $3789 per FTES.</t>
  </si>
  <si>
    <t>Add 0% COLA to 09/10 per FTES allocation of $3789 to get $3789 per FTES.</t>
  </si>
  <si>
    <t>Allocate 12/13 projected step and column increases.  Allocate compensation where settled and reserve where not settled.</t>
  </si>
  <si>
    <t>12/13 Revenue</t>
  </si>
  <si>
    <t>Sum the 11/12 Site Allocations with all of the adjustments.</t>
  </si>
  <si>
    <t>12/13 Site Allocations</t>
  </si>
  <si>
    <t>Movement on column/step</t>
  </si>
  <si>
    <t>10/11 COLA</t>
  </si>
  <si>
    <t>11/12 COLA</t>
  </si>
  <si>
    <t>12/13 COLA</t>
  </si>
  <si>
    <t>Total Resident</t>
  </si>
  <si>
    <t>Percent cut from 08/09 base</t>
  </si>
  <si>
    <t>CSF</t>
  </si>
  <si>
    <t>Based on Oct 2008 estimate</t>
  </si>
  <si>
    <t>Stephani Scott</t>
  </si>
  <si>
    <t>** Note that GSF for 2008 through 2011 are projections and may be subject to change.</t>
  </si>
  <si>
    <t>3. Allocate $1.78 per square foot increase (decrease) over previous year.</t>
  </si>
  <si>
    <t>Based on Feb 08 estimates less what was budgeted for 07/08</t>
  </si>
  <si>
    <t>Compensation Contingency for 08/09 Simulation</t>
  </si>
  <si>
    <t>Faculty</t>
  </si>
  <si>
    <t>Nonreps</t>
  </si>
  <si>
    <t>Less 07/08 budget</t>
  </si>
  <si>
    <t>Increase needed</t>
  </si>
  <si>
    <t>07/08 Alloc</t>
  </si>
  <si>
    <t>07/08 Salaries</t>
  </si>
  <si>
    <t>07/08 Office Hours</t>
  </si>
  <si>
    <t>07/08 Budget</t>
  </si>
  <si>
    <t>Total 08/09 Increase</t>
  </si>
  <si>
    <t>Management Increase</t>
  </si>
  <si>
    <t>Add'l 07/08 needed</t>
  </si>
  <si>
    <t>Allowance for reclasses/adjustments</t>
  </si>
  <si>
    <t>CSEA Bay Ten survey, Classf supvs &amp; prof survey</t>
  </si>
  <si>
    <t>Deficit factor</t>
  </si>
  <si>
    <t>Assume the district receives  growth and no budget stability.  Hold aside unallocated resources.</t>
  </si>
  <si>
    <t>Change from Fall 08 to Fall 09 Space Inventory Report</t>
  </si>
  <si>
    <t>07/08 P-2</t>
  </si>
  <si>
    <t>Timber Tax</t>
  </si>
  <si>
    <t>Websmart 4.24.08</t>
  </si>
  <si>
    <t>Tax report 4.24.08</t>
  </si>
  <si>
    <t>Assumptions for 2011/12 Budget Scenario</t>
  </si>
  <si>
    <t>11/12</t>
  </si>
  <si>
    <t>2011-12</t>
  </si>
  <si>
    <t>Resource Allocation: 11/12 Budget Scenario</t>
  </si>
  <si>
    <t>10/11 Site Allocations</t>
  </si>
  <si>
    <t>Based on 11/12 Budget</t>
  </si>
  <si>
    <t>Change from Fall 10 to Fall 11 Space Inventory Report</t>
  </si>
  <si>
    <t>Based on FTES Goals for 11/12</t>
  </si>
  <si>
    <t>11/12 FTES</t>
  </si>
  <si>
    <t>Allocate 10/11 projected step and column increases.  Allocate compensation where settled and reserve where not settled.</t>
  </si>
  <si>
    <t>Sum the 10/11 Site Allocations with all of the adjustments.</t>
  </si>
  <si>
    <t>11/12 Site Allocations</t>
  </si>
  <si>
    <t>2) 07/08 FTES based on P-2.</t>
  </si>
  <si>
    <t>3) 08/09 Non-resident FTES declines at same rate as 07/08 over 06/07</t>
  </si>
  <si>
    <t>6) Deficit factor on state revenue projected.</t>
  </si>
  <si>
    <t>9) No increase for FT Faculty outside of what colleges fund from their site allocations.</t>
  </si>
  <si>
    <t>12) No shifting of FTES</t>
  </si>
  <si>
    <t>13) Includes new item for Facilities Maintenance</t>
  </si>
  <si>
    <t>8) Utilities and benefits are based Arlene and David's estimates.</t>
  </si>
  <si>
    <t>Summer 2007 COLA</t>
  </si>
  <si>
    <t>07/08 COLA</t>
  </si>
  <si>
    <t>AFT</t>
  </si>
  <si>
    <t>CSEA</t>
  </si>
  <si>
    <t>All others</t>
  </si>
  <si>
    <t>Summer 2007</t>
  </si>
  <si>
    <t>Step Increase</t>
  </si>
  <si>
    <t>New budget</t>
  </si>
  <si>
    <t>06/07 Budget</t>
  </si>
  <si>
    <t>Included in Site Alloc</t>
  </si>
  <si>
    <t>Total needed for 07/08</t>
  </si>
  <si>
    <t>New budget needed</t>
  </si>
  <si>
    <t>Budget as an expense:</t>
  </si>
  <si>
    <t>Budget as an other resource:</t>
  </si>
  <si>
    <t>Breakdown of Base Revenues</t>
  </si>
  <si>
    <t>Property Taxes</t>
  </si>
  <si>
    <t>8672 Subvents</t>
  </si>
  <si>
    <t>8811 Secured Taxes</t>
  </si>
  <si>
    <t>8812 Unsecured Taxes</t>
  </si>
  <si>
    <t>8817 Supplemental</t>
  </si>
  <si>
    <t>8874 Enrollment Fee</t>
  </si>
  <si>
    <t>8611 Apportionment</t>
  </si>
  <si>
    <t>Sites: Canada College</t>
  </si>
  <si>
    <t xml:space="preserve">   Facilities</t>
  </si>
  <si>
    <t>15E</t>
  </si>
  <si>
    <t>Foundation/Research</t>
  </si>
  <si>
    <t>Add 4.53% COLA to 07/08 per FTES allocation of $3600 to get $3763 per FTES.</t>
  </si>
  <si>
    <t xml:space="preserve">   Chancellor's Office</t>
  </si>
  <si>
    <t>District</t>
  </si>
  <si>
    <t>Additional Amount requested for 2008/09:</t>
  </si>
  <si>
    <t>Growth/Restoration</t>
  </si>
  <si>
    <t>AFT+CSEA</t>
  </si>
  <si>
    <t>Others</t>
  </si>
  <si>
    <t>Assumptions for 2010/11 Budget Scenario</t>
  </si>
  <si>
    <t>10/11</t>
  </si>
  <si>
    <t>2010-11</t>
  </si>
  <si>
    <t>Resource Allocation: 10/11 Budget Scenario</t>
  </si>
  <si>
    <t>09/10 Site Allocations</t>
  </si>
  <si>
    <t>Change from Fall 09 to Fall 10 Space Inventory Report</t>
  </si>
  <si>
    <t>Assume the district receives 1% growth and no budget stability.  Hold aside unallocated resources.</t>
  </si>
  <si>
    <t>10/11 FTES</t>
  </si>
  <si>
    <t>Sum the 08/09 Site Allocations with all of the adjustments.</t>
  </si>
  <si>
    <t>AFSCME</t>
  </si>
  <si>
    <t>costs to allocate the resources.  This page is frozen at the adopted budget.</t>
  </si>
  <si>
    <r>
      <t>Sq Ft:</t>
    </r>
    <r>
      <rPr>
        <sz val="10"/>
        <rFont val="Arial"/>
        <family val="2"/>
      </rPr>
      <t xml:space="preserve"> This page tracks the square footage and maintenance costs for Facilities and is used on the Resource Allocation page in Step 3. </t>
    </r>
  </si>
  <si>
    <t>Reserve for future years</t>
  </si>
  <si>
    <t>Plus deficit less reserve</t>
  </si>
  <si>
    <t>Overcap FTES</t>
  </si>
  <si>
    <t>$ lost</t>
  </si>
  <si>
    <t>Facilities Square Footage History and Planning ** (updated January 2008)</t>
  </si>
  <si>
    <t xml:space="preserve">% </t>
  </si>
  <si>
    <t>%</t>
  </si>
  <si>
    <t>2000-&gt;2011</t>
  </si>
  <si>
    <t>Change</t>
  </si>
  <si>
    <t>CSM/District Office</t>
  </si>
  <si>
    <t>3) 4.53% state revenue COLA.</t>
  </si>
  <si>
    <t>4) 4.53% inflation on certain expenses.</t>
  </si>
  <si>
    <t>7) 4.50/4.53% salary compensation settlement.</t>
  </si>
  <si>
    <t>Kathy,</t>
  </si>
  <si>
    <t>The totals for the 4 Foundation positions are as follows:</t>
  </si>
  <si>
    <t>Salary</t>
  </si>
  <si>
    <t>Benefits</t>
  </si>
  <si>
    <t>1A0029</t>
  </si>
  <si>
    <t>Executive Director</t>
  </si>
  <si>
    <t>1A0030</t>
  </si>
  <si>
    <t>Director of Development</t>
  </si>
  <si>
    <t>1C0420</t>
  </si>
  <si>
    <t>Foundation Business Mgr</t>
  </si>
  <si>
    <t>1C0421</t>
  </si>
  <si>
    <t>Staff Assistant</t>
  </si>
  <si>
    <t>Foundation agreed to fund the salaries only for:</t>
  </si>
  <si>
    <t>Balance to be funded by district:</t>
  </si>
  <si>
    <t>District    </t>
  </si>
  <si>
    <t>Facilities  </t>
  </si>
  <si>
    <t>Skyline     </t>
  </si>
  <si>
    <t>Canada      </t>
  </si>
  <si>
    <t>CSM         </t>
  </si>
  <si>
    <t xml:space="preserve">Site                              </t>
  </si>
  <si>
    <t xml:space="preserve">Salaries            </t>
  </si>
  <si>
    <t xml:space="preserve">3%COLA           </t>
  </si>
  <si>
    <t>FTES P-A</t>
  </si>
  <si>
    <t>Information about this workbook:</t>
  </si>
  <si>
    <t>assumptions.  The revenues here are base revenues only and don't include interest and other revenues.</t>
  </si>
  <si>
    <t>or Revenues pages) should be made on this page.</t>
  </si>
  <si>
    <t xml:space="preserve">and is used in the Resource Allocation pages for expenses.  Changes for revenues or expenses (other than on the Assumptions </t>
  </si>
  <si>
    <r>
      <t>Revenues:</t>
    </r>
    <r>
      <rPr>
        <sz val="10"/>
        <rFont val="Arial"/>
        <family val="2"/>
      </rPr>
      <t xml:space="preserve">  This page works through the revenues associated with the FTES, including the FTES numbers as modified by the </t>
    </r>
  </si>
  <si>
    <r>
      <t>Rev-Exp Plan:</t>
    </r>
    <r>
      <rPr>
        <sz val="10"/>
        <rFont val="Arial"/>
        <family val="2"/>
      </rPr>
      <t xml:space="preserve">  This page is a working page used to figure out what the numbers need to be.  It is referred to by the other pages</t>
    </r>
  </si>
  <si>
    <t>This is the page that would have been distributed in the past.  However, it doesn't include the use of one-time resources.</t>
  </si>
  <si>
    <r>
      <t>Rev-Exp Plan (2):</t>
    </r>
    <r>
      <rPr>
        <sz val="10"/>
        <rFont val="Arial"/>
        <family val="2"/>
      </rPr>
      <t xml:space="preserve"> This page takes the amounts allocated on the Resource Allocation page and adds them to the site allocations.</t>
    </r>
  </si>
  <si>
    <t>accreditation.</t>
  </si>
  <si>
    <r>
      <t>SB361:</t>
    </r>
    <r>
      <rPr>
        <sz val="10"/>
        <rFont val="Arial"/>
        <family val="2"/>
      </rPr>
      <t xml:space="preserve"> This page calculates the base revenue and growth for the district based on the SB361 formulas.  This feeds the revenues</t>
    </r>
  </si>
  <si>
    <t>Allocation page.</t>
  </si>
  <si>
    <r>
      <t>Foundation:</t>
    </r>
    <r>
      <rPr>
        <sz val="10"/>
        <rFont val="Arial"/>
        <family val="2"/>
      </rPr>
      <t xml:space="preserve"> This page figures the amounts we are budgeting for the new foundation positions and is a line item on the Resource</t>
    </r>
  </si>
  <si>
    <t>Faculty Step Increase</t>
  </si>
  <si>
    <t>CAN</t>
  </si>
  <si>
    <t>SKY</t>
  </si>
  <si>
    <t>Cost of COLA for 07-08 simulation</t>
  </si>
  <si>
    <t>06/07 Carryover</t>
  </si>
  <si>
    <t>Office Hours</t>
  </si>
  <si>
    <t>AFT Step .92%</t>
  </si>
  <si>
    <t>Calculate 12% and 4% of allocations in #4.</t>
  </si>
  <si>
    <t>6) No increase for FT Faculty outside of what colleges fund from their site allocations.</t>
  </si>
  <si>
    <t>Resource Allocation: 08/09 Budget Scenario</t>
  </si>
  <si>
    <t>Based on 08/09 Budget</t>
  </si>
  <si>
    <t>Change from Fall 07 to Fall 08 Space Inventory Report</t>
  </si>
  <si>
    <t>08/09 FTES</t>
  </si>
  <si>
    <t>08/09 Revenue</t>
  </si>
  <si>
    <t>Sum the 07/08 Site Allocations with all of the adjustments.</t>
  </si>
  <si>
    <t>08/09 Site Allocations</t>
  </si>
  <si>
    <t>Allocate 08/09 projected step and column increases.  Allocate compensation where settled and reserve where not settled.</t>
  </si>
  <si>
    <t>08/09</t>
  </si>
  <si>
    <t>Preliminary</t>
  </si>
  <si>
    <t>Assumptions for 2008/09 Budget Scenario</t>
  </si>
  <si>
    <t>State Apportionment</t>
  </si>
  <si>
    <t>Change from 07/08</t>
  </si>
  <si>
    <t>Add the two amounts together and compare to 06/07 Site Allocations</t>
  </si>
  <si>
    <t>Add the two amounts together and compare to 07/08 Site Allocations</t>
  </si>
  <si>
    <t>3.8% COLA</t>
  </si>
  <si>
    <t>Restoration/Decline</t>
  </si>
  <si>
    <t>2009-10</t>
  </si>
  <si>
    <t>Assumptions for 2009/10 Budget Scenario</t>
  </si>
  <si>
    <t>09/10</t>
  </si>
  <si>
    <t>Change from 08/09</t>
  </si>
  <si>
    <t>Resource Allocation: 09/10 Budget Scenario</t>
  </si>
  <si>
    <t>Based on 09/10 Budget</t>
  </si>
  <si>
    <t>Based on FTES Goals for 09/10</t>
  </si>
  <si>
    <t>09/10 FTES</t>
  </si>
  <si>
    <t>Allocate 09/10 projected step and column increases.  Allocate compensation where settled and reserve where not settled.</t>
  </si>
  <si>
    <t>09/10 Revenue</t>
  </si>
  <si>
    <t>Can</t>
  </si>
  <si>
    <t>Sky</t>
  </si>
  <si>
    <t>SMCCCD SPACE CHANGE IN 2007</t>
  </si>
  <si>
    <t>GSF
Online/(Offline)</t>
  </si>
  <si>
    <t>from 2006 reported space change</t>
  </si>
  <si>
    <t>SKY B11</t>
  </si>
  <si>
    <t>SKY B12</t>
  </si>
  <si>
    <t>SKY B13</t>
  </si>
  <si>
    <t>SKY B14</t>
  </si>
  <si>
    <t>SKY Loma Chica</t>
  </si>
  <si>
    <t>total add'l sq ft for 2007</t>
  </si>
  <si>
    <t>REPORTED SPACE CHANGE IN 2006 (KB)</t>
  </si>
  <si>
    <t>Funded FY0607</t>
  </si>
  <si>
    <t>Need Add'l Funding in FY0708</t>
  </si>
  <si>
    <t>Actual GSF
(new bldgs)</t>
  </si>
  <si>
    <t>GSF Variance</t>
  </si>
  <si>
    <t>total add'l sq ft for 2006</t>
  </si>
  <si>
    <t>Total Space Change in 2007 (to include GSF Variance from FY0607 reported space change)</t>
  </si>
  <si>
    <t>Add'l SQ FT</t>
  </si>
  <si>
    <t>2006/07 Base</t>
  </si>
  <si>
    <t>2006/07 Budget</t>
  </si>
  <si>
    <t>2007/08 Base</t>
  </si>
  <si>
    <t>2007/08 Budget</t>
  </si>
  <si>
    <t>For preliminary purposes only</t>
  </si>
  <si>
    <t>2008/09 Base</t>
  </si>
  <si>
    <t>2008/09 budget</t>
  </si>
  <si>
    <t>2009/10 Base</t>
  </si>
  <si>
    <t>2009/10 budget</t>
  </si>
  <si>
    <t>Restoration/Growth</t>
  </si>
  <si>
    <t>Revenue assumptions with shifting of FTES</t>
  </si>
  <si>
    <t>SKY B20</t>
  </si>
  <si>
    <t>Aug 2006</t>
  </si>
  <si>
    <t>SKY B6</t>
  </si>
  <si>
    <t>Dec 2006</t>
  </si>
  <si>
    <t>SKY B7</t>
  </si>
  <si>
    <t>Jan 2007</t>
  </si>
  <si>
    <t>Jan 2008</t>
  </si>
  <si>
    <t>SKY B7A</t>
  </si>
  <si>
    <t>total add'l sq ft</t>
  </si>
  <si>
    <t># of months in 06/07</t>
  </si>
  <si>
    <t>Prorated GSF</t>
  </si>
  <si>
    <t>New estimated and prorated sq footage:</t>
  </si>
  <si>
    <t>Change from prior year:</t>
  </si>
  <si>
    <t>Space Inventory Report done October, 2005 for buildings through December, 2005:</t>
  </si>
  <si>
    <t>2006 Space Inventory Report</t>
  </si>
  <si>
    <t>Resident</t>
  </si>
  <si>
    <t>Non-Res</t>
  </si>
  <si>
    <t>FTES Goals</t>
  </si>
  <si>
    <t>Compensation</t>
  </si>
  <si>
    <t>Assume the district receives 0% growth and loses budget stability.  Hold aside unallocated resources.</t>
  </si>
  <si>
    <t>Deficit budget</t>
  </si>
  <si>
    <t>Plus deficit budget</t>
  </si>
  <si>
    <t>Year to year change</t>
  </si>
  <si>
    <t>2005-06 PA</t>
  </si>
  <si>
    <t>2007-08</t>
  </si>
  <si>
    <t>2008-09</t>
  </si>
  <si>
    <t>Non-Credit</t>
  </si>
  <si>
    <t>Foundation Grant</t>
  </si>
  <si>
    <t>90th % credit</t>
  </si>
  <si>
    <t>90th % noncredit</t>
  </si>
  <si>
    <t>Foundation</t>
  </si>
  <si>
    <t>Base Rev</t>
  </si>
  <si>
    <t>Growth/Decline</t>
  </si>
  <si>
    <t>Less Foundation</t>
  </si>
  <si>
    <t>Net</t>
  </si>
  <si>
    <t>Per FTES</t>
  </si>
  <si>
    <t>Per Actual FTES</t>
  </si>
  <si>
    <t>07/08</t>
  </si>
  <si>
    <t>Change from 06/07</t>
  </si>
  <si>
    <t>Resource Allocation: 07/08 Budget Scenario</t>
  </si>
  <si>
    <t>Based on 07/08 Budget</t>
  </si>
  <si>
    <t>2% increase</t>
  </si>
  <si>
    <t>Change from Fall 06 to Fall 07 Space Inventory Report</t>
  </si>
  <si>
    <t>Based on FTES Goals for 07/08</t>
  </si>
  <si>
    <t>07/08 FTES</t>
  </si>
  <si>
    <t>Allocate 07/08 projected step and column increases.  Allocate compensation where settled and reserve where not settled.</t>
  </si>
  <si>
    <t>07/08 Revenue</t>
  </si>
  <si>
    <t>Sum the 06/07 Site Allocations with all of the adjustments.</t>
  </si>
  <si>
    <t xml:space="preserve">(A) 2006-07 Site Allocation </t>
  </si>
  <si>
    <t>(B) 2007-08 SMCCCD Revenue and Expenditure Assumptions</t>
  </si>
  <si>
    <t>07/08 Site Allocations</t>
  </si>
  <si>
    <t>Add 5.92% COLA to 06/07 per FTES allocation of $3400 to get $3600 per FTES.</t>
  </si>
  <si>
    <t>Assumptions for the 2007/08 Budget Scenario</t>
  </si>
  <si>
    <t>1) SB361 continues as proposed at the Budget Workshops</t>
  </si>
  <si>
    <t>8) Fixed costs based on best guess for now.</t>
  </si>
  <si>
    <t>Based on Fall 06 estimated increase over Fall 05-Needs to be updated!</t>
  </si>
  <si>
    <t>5) Utilities and benefits are based 06/07 increase over 05/06.</t>
  </si>
  <si>
    <t>3. Allocate $1.70 per square foot increase over previous year.</t>
  </si>
  <si>
    <t>5. District Office &amp; Facilities gets 12% and 4% respectively of college growth allocations.</t>
  </si>
  <si>
    <t>(D) SMCCCD Exhibit C, 2004-05 Second Principal Apportionment</t>
  </si>
  <si>
    <t>(E) Historical Comparisons of Site Allocations &amp; FTES</t>
  </si>
  <si>
    <t>Credit</t>
  </si>
  <si>
    <t>Actual</t>
  </si>
  <si>
    <t>Allocation</t>
  </si>
  <si>
    <t>Base Revenue</t>
  </si>
  <si>
    <t>Equalization</t>
  </si>
  <si>
    <t>PFE</t>
  </si>
  <si>
    <t>COLA</t>
  </si>
  <si>
    <t>Growth: FTES/Headcount</t>
  </si>
  <si>
    <t>Budget Stability</t>
  </si>
  <si>
    <t>Resident FTES Only</t>
  </si>
  <si>
    <t>03/04</t>
  </si>
  <si>
    <t>04/05</t>
  </si>
  <si>
    <t>05/06</t>
  </si>
  <si>
    <t>06/07</t>
  </si>
  <si>
    <t>Actual FTES</t>
  </si>
  <si>
    <t>Reported FTES</t>
  </si>
  <si>
    <t>Funded FTES</t>
  </si>
  <si>
    <t>Shifted FTES</t>
  </si>
  <si>
    <t>Actual growth over 03/04</t>
  </si>
  <si>
    <t>Funded growth over 03/04</t>
  </si>
  <si>
    <t>SAN MATEO COUNTY COMMUNITY COLLEGE DISTRICT</t>
  </si>
  <si>
    <t xml:space="preserve"> </t>
  </si>
  <si>
    <t>2001-02</t>
  </si>
  <si>
    <t>2002-03</t>
  </si>
  <si>
    <t>2003-04</t>
  </si>
  <si>
    <t>2004-05</t>
  </si>
  <si>
    <t>2005-06</t>
  </si>
  <si>
    <t>2006-07</t>
  </si>
  <si>
    <t>REVENUE</t>
  </si>
  <si>
    <t>Adpt Final</t>
  </si>
  <si>
    <t>Revised</t>
  </si>
  <si>
    <t>Recalc</t>
  </si>
  <si>
    <t>Adopted</t>
  </si>
  <si>
    <t xml:space="preserve">claimed </t>
  </si>
  <si>
    <t>claimed</t>
  </si>
  <si>
    <t>Lottery</t>
  </si>
  <si>
    <t xml:space="preserve">State P/T Faculty Parity  </t>
  </si>
  <si>
    <t>P/T Faculty Office Hrs./Med.</t>
  </si>
  <si>
    <t>Apprenticeship</t>
  </si>
  <si>
    <t>Non-Resident</t>
  </si>
  <si>
    <t xml:space="preserve">Interest </t>
  </si>
  <si>
    <t xml:space="preserve">Mandated Costs  </t>
  </si>
  <si>
    <t xml:space="preserve">Other   </t>
  </si>
  <si>
    <t>Estmated Total Revenue</t>
  </si>
  <si>
    <t>EXPENDITURES</t>
  </si>
  <si>
    <t>15A</t>
  </si>
  <si>
    <t>15B</t>
  </si>
  <si>
    <t>15C</t>
  </si>
  <si>
    <t xml:space="preserve">   Skyline College</t>
  </si>
  <si>
    <t>15D</t>
  </si>
  <si>
    <t xml:space="preserve">   College of San Mateo </t>
  </si>
  <si>
    <t>FTES Growth</t>
  </si>
  <si>
    <t>17A</t>
  </si>
  <si>
    <t>Benefits/MidYrInc/Savings</t>
  </si>
  <si>
    <t>17B</t>
  </si>
  <si>
    <t>Retiree Benefits Only</t>
  </si>
  <si>
    <t>Formula adjustments/Contracts</t>
  </si>
  <si>
    <t>Miscellaneous</t>
  </si>
  <si>
    <t>Utilities</t>
  </si>
  <si>
    <t>Salary Commitments</t>
  </si>
  <si>
    <t>in site/bene</t>
  </si>
  <si>
    <t>insite/bene</t>
  </si>
  <si>
    <t>New faculty</t>
  </si>
  <si>
    <t>Managed Hiring</t>
  </si>
  <si>
    <t>Resource allocation model</t>
  </si>
  <si>
    <t>Insurance</t>
  </si>
  <si>
    <t>Consult/Legal/Election</t>
  </si>
  <si>
    <t>Staff Development</t>
  </si>
  <si>
    <t>Tele/Soft-Hardwr Maint</t>
  </si>
  <si>
    <t>Technology Advancement</t>
  </si>
  <si>
    <t>Retirement Reserve Trsfr</t>
  </si>
  <si>
    <t>Museum of Tolerance</t>
  </si>
  <si>
    <t>Estimated Expenditures</t>
  </si>
  <si>
    <t xml:space="preserve">Estimated Marginal </t>
  </si>
  <si>
    <t xml:space="preserve">     Revenue/Deficit</t>
  </si>
  <si>
    <t>New Facilities Coming Online FY05-06 and FY06-07</t>
  </si>
  <si>
    <t>GSF</t>
  </si>
  <si>
    <t>Online/(Offline)</t>
  </si>
  <si>
    <t>Scheduled Offline</t>
  </si>
  <si>
    <t>Scheduled Online</t>
  </si>
  <si>
    <t>CAN B9</t>
  </si>
  <si>
    <t>n/a</t>
  </si>
  <si>
    <t>Mar 2007</t>
  </si>
  <si>
    <t>CAN B17</t>
  </si>
  <si>
    <t>mid-Dec 2006</t>
  </si>
  <si>
    <t>mid-Jan 2007</t>
  </si>
  <si>
    <t>CAN B18</t>
  </si>
  <si>
    <t>Sep 2006</t>
  </si>
  <si>
    <t>May 2007</t>
  </si>
  <si>
    <t>Jun 2007</t>
  </si>
  <si>
    <t>Dec 2007</t>
  </si>
  <si>
    <t>CSM B35</t>
  </si>
  <si>
    <t>May 2006</t>
  </si>
  <si>
    <t>CSM B36</t>
  </si>
  <si>
    <t>Jun 2006</t>
  </si>
  <si>
    <t>CSM T1</t>
  </si>
  <si>
    <t>Worksheet A</t>
  </si>
  <si>
    <t xml:space="preserve">1. Review Base Allocation and FTES Allocation (should be 80%/20% of funding).  If a </t>
  </si>
  <si>
    <t>college should receive additional funding based on the review, allocate that.</t>
  </si>
  <si>
    <t>Current Allocations are:</t>
  </si>
  <si>
    <t>Skyline</t>
  </si>
  <si>
    <t>Cañada</t>
  </si>
  <si>
    <t>CSM</t>
  </si>
  <si>
    <t>District Office</t>
  </si>
  <si>
    <t>Facilities</t>
  </si>
  <si>
    <t>Central Svcs</t>
  </si>
  <si>
    <t>Total</t>
  </si>
  <si>
    <t>(A), (B)</t>
  </si>
  <si>
    <t>05/06 FTES</t>
  </si>
  <si>
    <t>04/05 FTES</t>
  </si>
  <si>
    <t>3 yr average</t>
  </si>
  <si>
    <t>( C )</t>
  </si>
  <si>
    <t>Percent of total</t>
  </si>
  <si>
    <t>Allocate 80% of the existing funding to each college's base</t>
  </si>
  <si>
    <t>Base Allocation</t>
  </si>
  <si>
    <t>Allocate 20% of the existing funding to each college based on the 3 yr average of FTES</t>
  </si>
  <si>
    <t>FTES Allocation</t>
  </si>
  <si>
    <t>Change from Site Alloc</t>
  </si>
  <si>
    <t>Adjustment #1 is the increases from the Site Allocations.  No college gets a decrease.</t>
  </si>
  <si>
    <t xml:space="preserve">Adjustment #1 </t>
  </si>
  <si>
    <t>2. Allocate any increase in Central Services costs.</t>
  </si>
  <si>
    <t>Increased Costs</t>
  </si>
  <si>
    <t>(B)</t>
  </si>
  <si>
    <t>4. Allocate growth based on increase (or decrease) in 3-year FTES average.</t>
  </si>
  <si>
    <t>06/07 FTES</t>
  </si>
  <si>
    <t>New 3 yr average</t>
  </si>
  <si>
    <t>Change in 3 yr average</t>
  </si>
  <si>
    <t>Growth allocation</t>
  </si>
  <si>
    <t>(D)</t>
  </si>
  <si>
    <t>(E)</t>
  </si>
  <si>
    <t>6. Allocate any special amounts agreed upon.</t>
  </si>
  <si>
    <t>Step &amp; Column</t>
  </si>
  <si>
    <t>(A)</t>
  </si>
  <si>
    <t>Growth</t>
  </si>
  <si>
    <t>7. Allocate any remaining funds across the board (plus or minus).</t>
  </si>
  <si>
    <t>Calculate new base revenue and what is left after allocations 1 through 6.</t>
  </si>
  <si>
    <t>Prior Year Alloc</t>
  </si>
  <si>
    <t>(Funded, includes NR &amp; Appren)</t>
  </si>
  <si>
    <t>(Estimated actual)</t>
  </si>
  <si>
    <t>Funded Growth</t>
  </si>
  <si>
    <t>Other Revenue</t>
  </si>
  <si>
    <t>Increase</t>
  </si>
  <si>
    <t>Less allocations:</t>
  </si>
  <si>
    <t>1. Adjustment #1</t>
  </si>
  <si>
    <t>2. Central Svcs</t>
  </si>
  <si>
    <t>3. Square Footage</t>
  </si>
  <si>
    <t>4. Growth</t>
  </si>
  <si>
    <t xml:space="preserve">5. DO &amp; Facilities </t>
  </si>
  <si>
    <t>6. Special Allocations</t>
  </si>
  <si>
    <t>Available for allocation</t>
  </si>
  <si>
    <t>N/A</t>
  </si>
  <si>
    <t>% of Total</t>
  </si>
  <si>
    <t>Adjustment #7</t>
  </si>
  <si>
    <t>8.  Final allocations</t>
  </si>
  <si>
    <t>2. Fixed Costs</t>
  </si>
  <si>
    <t>7. Adjustment #7</t>
  </si>
  <si>
    <t>Total Increase</t>
  </si>
  <si>
    <t>06/07 Site Allocations</t>
  </si>
  <si>
    <t>Facilities Square Footage</t>
  </si>
  <si>
    <t>(C), (D)</t>
  </si>
  <si>
    <t>50% of funds per sq. foot</t>
  </si>
  <si>
    <t>50% of funds for growth</t>
  </si>
  <si>
    <t>District Office percentage</t>
  </si>
  <si>
    <t>List of References:</t>
  </si>
  <si>
    <t>(C) SMCCCD FTES Analysis</t>
  </si>
  <si>
    <t>8) Utilities and benefits are based estimate from Facilities and HR.</t>
  </si>
  <si>
    <t>Facilities Square Footage History and Planning (updated October 2010)</t>
  </si>
  <si>
    <t>Bldg 5N/6N</t>
  </si>
  <si>
    <t>Based on Oct 2010 estimate</t>
  </si>
  <si>
    <t>NonPC Benefits</t>
  </si>
  <si>
    <t>5) Workload reduction</t>
  </si>
  <si>
    <t>2) 11/12 FTES based on 10/11 P1</t>
  </si>
  <si>
    <t>FTES funded through Measure G</t>
  </si>
  <si>
    <t>Funded through Measure G</t>
  </si>
  <si>
    <t>Net funded through Fund 1</t>
  </si>
  <si>
    <t>Reduction needed</t>
  </si>
  <si>
    <t>Measure G</t>
  </si>
  <si>
    <t>Plus Overcap FTES margin</t>
  </si>
  <si>
    <t>Total FTES funded through Fund 1</t>
  </si>
  <si>
    <t>12) Fees increase from $36 to $46</t>
  </si>
  <si>
    <t>11/12 funded Base</t>
  </si>
  <si>
    <t>12/13 Funded</t>
  </si>
  <si>
    <t>Total FTES funded</t>
  </si>
  <si>
    <t>FTES Funded through Measure G</t>
  </si>
  <si>
    <t>10/11 P-2 less Measure G</t>
  </si>
  <si>
    <t>Plus borrowed FTES</t>
  </si>
  <si>
    <r>
      <t>10/11 FTES</t>
    </r>
    <r>
      <rPr>
        <sz val="10"/>
        <color rgb="FFFF0000"/>
        <rFont val="Arial"/>
        <family val="2"/>
      </rPr>
      <t xml:space="preserve"> (P2)</t>
    </r>
  </si>
  <si>
    <r>
      <t xml:space="preserve">Utilities: </t>
    </r>
    <r>
      <rPr>
        <sz val="10"/>
        <rFont val="Arial"/>
        <family val="2"/>
      </rPr>
      <t>This page tracks utility projections provided by the Facilities Dept.</t>
    </r>
  </si>
  <si>
    <t>Add the two amounts together and compare to 10/11 Site Allocations</t>
  </si>
  <si>
    <t>Deficit due to property taxes/fees</t>
  </si>
  <si>
    <t>2011/12</t>
  </si>
  <si>
    <r>
      <t xml:space="preserve">Funded w/ </t>
    </r>
    <r>
      <rPr>
        <sz val="10"/>
        <color rgb="FFFF0000"/>
        <rFont val="Arial"/>
        <family val="2"/>
      </rPr>
      <t>7.5%</t>
    </r>
    <r>
      <rPr>
        <sz val="10"/>
        <rFont val="Arial"/>
        <family val="2"/>
      </rPr>
      <t xml:space="preserve"> workload reduction</t>
    </r>
  </si>
  <si>
    <r>
      <t xml:space="preserve">Total Resident FTES funded </t>
    </r>
    <r>
      <rPr>
        <sz val="10"/>
        <color rgb="FFFF0000"/>
        <rFont val="Arial"/>
        <family val="2"/>
      </rPr>
      <t>P2</t>
    </r>
    <r>
      <rPr>
        <sz val="10"/>
        <rFont val="Arial"/>
        <family val="2"/>
      </rPr>
      <t xml:space="preserve"> 2010/11 (inlcudes 500 borrowed)</t>
    </r>
  </si>
  <si>
    <t>12) Student fees increase  from $26 (Summer) to $36  (Fall and Spring)</t>
  </si>
  <si>
    <t>Business travel</t>
  </si>
  <si>
    <t>Crime</t>
  </si>
  <si>
    <t>County of San Mateo</t>
  </si>
  <si>
    <t>Amy Supinger, Supinger Strategies</t>
  </si>
  <si>
    <t>Remy, Thomas, Moose and Manley</t>
  </si>
  <si>
    <t>Dannis, Woliver, Kelley</t>
  </si>
  <si>
    <t>Tom Casey</t>
  </si>
  <si>
    <t>Berliner Cohen Attorneys at Law</t>
  </si>
  <si>
    <t>Bertrand, Fox and Elliot</t>
  </si>
  <si>
    <t>Vendor</t>
  </si>
  <si>
    <t>County Counsel, general advice</t>
  </si>
  <si>
    <t>General advice</t>
  </si>
  <si>
    <t>Compensation Contingency for 11/12 Simulation</t>
  </si>
  <si>
    <t>Less 10/11 budget</t>
  </si>
  <si>
    <t>Compensation Contingency for 10/11 Simulation</t>
  </si>
  <si>
    <t>11/12 Budget</t>
  </si>
  <si>
    <t>FOAPAL</t>
  </si>
  <si>
    <t>Jones, Hall</t>
  </si>
  <si>
    <t>10001-1046-5713</t>
  </si>
  <si>
    <t>10000-1001-5713</t>
  </si>
  <si>
    <t>Schwartz, Woods and Miller</t>
  </si>
  <si>
    <t>KCSM legal</t>
  </si>
  <si>
    <t>35022/23-4531-5713</t>
  </si>
  <si>
    <t>Legal Services Budget for 11/12</t>
  </si>
  <si>
    <t>Paid in 10/11</t>
  </si>
  <si>
    <t>10000-1001-5713; 43001-1050-5713 (RDA)</t>
  </si>
  <si>
    <t>Lobbying</t>
  </si>
  <si>
    <t>CEQA</t>
  </si>
  <si>
    <t>Board matters</t>
  </si>
  <si>
    <t>Nielsen, Merksamer, Parrinello, Mue</t>
  </si>
  <si>
    <t>10001-1001-5713</t>
  </si>
  <si>
    <t>Insurance claims</t>
  </si>
  <si>
    <t>Lehman</t>
  </si>
  <si>
    <t>Bond/election counsel</t>
  </si>
  <si>
    <t>60000 (parcel tax) or 40005 (bond)</t>
  </si>
  <si>
    <t>?</t>
  </si>
  <si>
    <t>Lozano Smith</t>
  </si>
  <si>
    <t>Mandated costs</t>
  </si>
  <si>
    <t>None</t>
  </si>
  <si>
    <t>Fund 1 Budget</t>
  </si>
  <si>
    <t>10000-1001-5871-671002</t>
  </si>
  <si>
    <t>District Credit Card Charges</t>
  </si>
  <si>
    <t>10000-1001-5875-671002</t>
  </si>
  <si>
    <t>District Banking Charges</t>
  </si>
  <si>
    <t>10000-2001-5871-671002</t>
  </si>
  <si>
    <t>Skyline Credit Card Charges</t>
  </si>
  <si>
    <t>10000-2001-5875-671002</t>
  </si>
  <si>
    <t>Skyline Banking Charges</t>
  </si>
  <si>
    <t>10000-3001-5871-671002</t>
  </si>
  <si>
    <t>Cañada Credit Card Charges</t>
  </si>
  <si>
    <t>10000-3001-5875-671002</t>
  </si>
  <si>
    <t>Cañada Banking Charges</t>
  </si>
  <si>
    <t>10000-4001-5871-671002</t>
  </si>
  <si>
    <t>CSM Credit Card Charges</t>
  </si>
  <si>
    <t>10000-4001-5875-671002</t>
  </si>
  <si>
    <t>CSM Banking Charges</t>
  </si>
  <si>
    <t>10000-1001-5714-672001</t>
  </si>
  <si>
    <t>Districtwide Audit</t>
  </si>
  <si>
    <t>10000-1001-5797-671000</t>
  </si>
  <si>
    <t>18044-1035-5690-675020</t>
  </si>
  <si>
    <t>Loan to Own</t>
  </si>
  <si>
    <t>10000-1038-5690-671000</t>
  </si>
  <si>
    <t>IRS</t>
  </si>
  <si>
    <t>10000-1036-1495-669002</t>
  </si>
  <si>
    <t>10000-1001-1495-603000</t>
  </si>
  <si>
    <t>Academic Senate</t>
  </si>
  <si>
    <t>10000-1001-5870-672000</t>
  </si>
  <si>
    <t>Other Miscellaneous</t>
  </si>
  <si>
    <t>10000-1001-5699-672000</t>
  </si>
  <si>
    <t>Live Scan Fingerprinting</t>
  </si>
  <si>
    <t>10000-1001-5860-672000</t>
  </si>
  <si>
    <t>CalPERS administrative fee</t>
  </si>
  <si>
    <t>10000-1001-5861-672000</t>
  </si>
  <si>
    <t>125 Plan Trust Administrators</t>
  </si>
  <si>
    <t>10000-1046-4510-675010</t>
  </si>
  <si>
    <t>Districtwide (Open Day/Staff Rec)</t>
  </si>
  <si>
    <t>10000-1036-5690-669004</t>
  </si>
  <si>
    <t>Labor Negotiations Contract</t>
  </si>
  <si>
    <t xml:space="preserve">Gas </t>
  </si>
  <si>
    <t xml:space="preserve"> Electricity </t>
  </si>
  <si>
    <t xml:space="preserve"> Water </t>
  </si>
  <si>
    <t xml:space="preserve"> Garbage </t>
  </si>
  <si>
    <t xml:space="preserve"> Fund 1 (Operations) </t>
  </si>
  <si>
    <t xml:space="preserve">DO </t>
  </si>
  <si>
    <t xml:space="preserve"> inc with CSM </t>
  </si>
  <si>
    <t xml:space="preserve"> CAN </t>
  </si>
  <si>
    <t xml:space="preserve"> CSM </t>
  </si>
  <si>
    <t xml:space="preserve"> SKY </t>
  </si>
  <si>
    <t xml:space="preserve"> Fund 3 (Parking) </t>
  </si>
  <si>
    <t xml:space="preserve">CAN </t>
  </si>
  <si>
    <t xml:space="preserve"> n/a </t>
  </si>
  <si>
    <t xml:space="preserve"> Fund 5 (Bookstore) </t>
  </si>
  <si>
    <t xml:space="preserve"> invoiced direct </t>
  </si>
  <si>
    <t xml:space="preserve"> Fund 5 (Food Services) </t>
  </si>
  <si>
    <t xml:space="preserve"> Fund 5 (Fitness Center) </t>
  </si>
  <si>
    <t xml:space="preserve">CSM </t>
  </si>
  <si>
    <t xml:space="preserve">Total </t>
  </si>
  <si>
    <t>Hello Kathy/Rachelle,</t>
  </si>
  <si>
    <t xml:space="preserve">I hope this is what you are looking for… the cells where it says “invoiced direct” means either Pacific Dining or Tom </t>
  </si>
  <si>
    <t>gets a separate invoice that directly gets charged to the appropriate fund. I’m not really privy to that portion of expenses. Steve may be.</t>
  </si>
  <si>
    <t>Assumptions for 2014/15 Budget Scenario</t>
  </si>
  <si>
    <t xml:space="preserve">2007/08 through 2014/15 Scenarios </t>
  </si>
  <si>
    <t xml:space="preserve">These Scenarios are based on the following assumptions.  These assumptions are subject to change with the state budget, revised assumptions for District fixed costs, results of negotiations and the District's actual FTES.  </t>
  </si>
  <si>
    <t>2014-15</t>
  </si>
  <si>
    <t>14/15</t>
  </si>
  <si>
    <t>12/13 funded Base</t>
  </si>
  <si>
    <t>13/14 funded</t>
  </si>
  <si>
    <t>Resource Allocation: 14/15 Budget Scenario</t>
  </si>
  <si>
    <t>8) Utilities and benefits are based 11/12 increase over 10/11.</t>
  </si>
  <si>
    <t>14/15 COLA</t>
  </si>
  <si>
    <t>FY11-12 Expense</t>
  </si>
  <si>
    <t>Change from Fall 12 to Fall 13 Space Inventory Report</t>
  </si>
  <si>
    <t>Based on FTES Goals for 14/15</t>
  </si>
  <si>
    <t>14/15 FTES</t>
  </si>
  <si>
    <t>Allocate 14/15 projected step and column increases.  Allocate compensation where settled and reserve where not settled.</t>
  </si>
  <si>
    <t>1% COLA</t>
  </si>
  <si>
    <t>Canada</t>
  </si>
  <si>
    <t>DW based on $</t>
  </si>
  <si>
    <t>DW based on employees</t>
  </si>
  <si>
    <t>District Off</t>
  </si>
  <si>
    <t>Central Serv</t>
  </si>
  <si>
    <t>Formula Adjustments</t>
  </si>
  <si>
    <t>10000-1001-4510-673000</t>
  </si>
  <si>
    <t>Holding Acct. for Facility Rental</t>
  </si>
  <si>
    <t>10000-1001-4510-300700</t>
  </si>
  <si>
    <t>Holding Acct. for Cosmetology Sales</t>
  </si>
  <si>
    <t>10000-1001-4510-647000</t>
  </si>
  <si>
    <t>Holding Acct. for Non-Res Tuition</t>
  </si>
  <si>
    <t>Facility Rental Contracts</t>
  </si>
  <si>
    <t>10000-3001-5690-679006</t>
  </si>
  <si>
    <t>SFSU/MBA Cañada Contract</t>
  </si>
  <si>
    <t>18046-3414-x999-601000</t>
  </si>
  <si>
    <t>SFSU/Nursing Cañada Contract</t>
  </si>
  <si>
    <t>18046-1038-2392-678001</t>
  </si>
  <si>
    <t>18046-1149-5690-679006</t>
  </si>
  <si>
    <t>18046-3414-2***-040110</t>
  </si>
  <si>
    <t>18046-3414-4510-601000</t>
  </si>
  <si>
    <t>18046-3414-5631-601004</t>
  </si>
  <si>
    <t>18046-3414-5870-601000</t>
  </si>
  <si>
    <t>Satellite Contracts</t>
  </si>
  <si>
    <t>18050-1149-5690-651000</t>
  </si>
  <si>
    <t>TCOM</t>
  </si>
  <si>
    <t>18051-1038-5699-709004</t>
  </si>
  <si>
    <t>Sprint</t>
  </si>
  <si>
    <t>18050-4001-5655-709004</t>
  </si>
  <si>
    <t>T-Mobile</t>
  </si>
  <si>
    <t>18048-3001-5699-089901</t>
  </si>
  <si>
    <t>Verizon</t>
  </si>
  <si>
    <t>18048-4144-5870-709004</t>
  </si>
  <si>
    <t>10/11 facilities rentals</t>
  </si>
  <si>
    <t>10/11 Cosmo sales</t>
  </si>
  <si>
    <t>10/11 Non-res tuition</t>
  </si>
  <si>
    <t>11/12 Adopted Budget</t>
  </si>
  <si>
    <t>13/14 Revenue</t>
  </si>
  <si>
    <t>Just FYI that I submitted the 2011 Space Invty information to the State Chancellor’s Office. GSF for each site is now as follows.</t>
  </si>
  <si>
    <t>Outside Sq. Ft.</t>
  </si>
  <si>
    <t>San Mateo District Office*</t>
  </si>
  <si>
    <t>Regards,</t>
  </si>
  <si>
    <t>Wednesday, October 19, 2011</t>
  </si>
  <si>
    <t>2011 Estimate</t>
  </si>
  <si>
    <t>Based on Oct 2011 report</t>
  </si>
  <si>
    <t>FTES Funded through Measure G (reduced by half from 11/12)</t>
  </si>
  <si>
    <t>No Measure G</t>
  </si>
  <si>
    <t>Assume the district receives 0% workload reduction and no budget stability.  Hold aside unallocated resources.</t>
  </si>
  <si>
    <t>One-time"Basic Aid" funds available:</t>
  </si>
  <si>
    <t>Compensation Contingency for 12/13 Simulation</t>
  </si>
  <si>
    <t>Less 11/12 budget</t>
  </si>
  <si>
    <t>Plus deficit budget/less reserve</t>
  </si>
  <si>
    <t>10) No salary compensation settlement.</t>
  </si>
  <si>
    <t>7) 3% inflation on certain expenses.</t>
  </si>
  <si>
    <t>7) 3.1% inflation on certain expenses.</t>
  </si>
  <si>
    <t>Beginning Balance</t>
  </si>
  <si>
    <t>Surplus/Deficit</t>
  </si>
  <si>
    <t>Ending Balance</t>
  </si>
  <si>
    <t>14/15 funded</t>
  </si>
  <si>
    <t>5 yr average</t>
  </si>
  <si>
    <t>New 5 yr average</t>
  </si>
  <si>
    <t>Change in 5 yr average</t>
  </si>
  <si>
    <t>5. District Office &amp; Facilities gets 14% and 6% respectively of college growth allocations.</t>
  </si>
  <si>
    <t>Calculate 14% and 6% of allocations in #4.</t>
  </si>
  <si>
    <t>7) 2.5% inflation on certain expenses.</t>
  </si>
  <si>
    <t>2012/13</t>
  </si>
  <si>
    <t>12/13 Budget</t>
  </si>
  <si>
    <t>Lozano Smith (through Sequoia)</t>
  </si>
  <si>
    <t>RDA?</t>
  </si>
  <si>
    <t>RDA issues</t>
  </si>
  <si>
    <t>18050-1149-5690-709004</t>
  </si>
  <si>
    <t>18051-1038-5690-709004</t>
  </si>
  <si>
    <t>18050-4001-5699-709004</t>
  </si>
  <si>
    <t>18048-4144-5699-089901</t>
  </si>
  <si>
    <t>12/13 Tentative Budget</t>
  </si>
  <si>
    <t>Projected 
FY12-13 Expense</t>
  </si>
  <si>
    <t>Fund 1 Only:</t>
  </si>
  <si>
    <t>Original</t>
  </si>
  <si>
    <t>13-14</t>
  </si>
  <si>
    <t>14-15</t>
  </si>
  <si>
    <t xml:space="preserve">ACAMS and Video </t>
  </si>
  <si>
    <t>Change from tentative</t>
  </si>
  <si>
    <t>10) Salary compensation settlement.</t>
  </si>
  <si>
    <t>P-A</t>
  </si>
  <si>
    <t>6) Deficit factor on state revenue projected does not apply to basic aid district.</t>
  </si>
  <si>
    <t>International Students</t>
  </si>
  <si>
    <t>Unsecured</t>
  </si>
  <si>
    <t>Timber</t>
  </si>
  <si>
    <t>RDA Residual</t>
  </si>
  <si>
    <t>International Education</t>
  </si>
  <si>
    <t>10003-3001-xxxx-871000</t>
  </si>
  <si>
    <t>10004-4001-xxxx-871000</t>
  </si>
  <si>
    <t>10001-1050-xxxx-871000</t>
  </si>
  <si>
    <t>10001-2001-xxxx-871000</t>
  </si>
  <si>
    <t>3) 12/13 Non-resident FTES same as last year except for Int'l</t>
  </si>
  <si>
    <t>Assumptions for 2015/16 Budget Scenario</t>
  </si>
  <si>
    <t>3) 15/16 Non-resident FTES grows at same rate as average of last year; Int'l FTES based on college goals.</t>
  </si>
  <si>
    <t>15/16</t>
  </si>
  <si>
    <t>2015-16</t>
  </si>
  <si>
    <t>15/16 COLA</t>
  </si>
  <si>
    <t>Resource Allocation: 15/16 Budget Scenario</t>
  </si>
  <si>
    <t>14/15 Site Allocations</t>
  </si>
  <si>
    <t>Based on 15/16 Budget</t>
  </si>
  <si>
    <t>Change from Fall 14 to Fall 15 Space Inventory Report</t>
  </si>
  <si>
    <t>Based on FTES Goals for 15/16</t>
  </si>
  <si>
    <t>15/16 FTES</t>
  </si>
  <si>
    <t>3. Allocate $3.01 per square foot increase over previous year.</t>
  </si>
  <si>
    <t>3. Allocate $3.05 per square foot increase over previous year.</t>
  </si>
  <si>
    <t>Sum the 14/15 Site Allocations with all of the adjustments.</t>
  </si>
  <si>
    <t>15/16 Site Allocations</t>
  </si>
  <si>
    <t>Based on 14/15 Budget</t>
  </si>
  <si>
    <t>Change from Fall 13 to Fall 14 Space Inventory Report</t>
  </si>
  <si>
    <t>Add the two amounts together and compare to 12/13 Site Allocations</t>
  </si>
  <si>
    <t>Add the two amounts together and compare to 13/14 Site Allocations</t>
  </si>
  <si>
    <t>Add the two amounts together and compare to 14/15 Site Allocations</t>
  </si>
  <si>
    <r>
      <rPr>
        <b/>
        <sz val="10"/>
        <rFont val="Arial"/>
        <family val="2"/>
      </rPr>
      <t>Misc:</t>
    </r>
    <r>
      <rPr>
        <sz val="10"/>
        <rFont val="Arial"/>
        <family val="2"/>
      </rPr>
      <t xml:space="preserve"> This page tracks the expenses that go into the Misc. Line Item</t>
    </r>
  </si>
  <si>
    <t>Increase needed in Fund 1</t>
  </si>
  <si>
    <t>Overall increase</t>
  </si>
  <si>
    <t>Software</t>
  </si>
  <si>
    <t>One-time "Basic Aid" funds used</t>
  </si>
  <si>
    <t>3) 13/14 Non-resident FTES based on Int'l Ed Plan.</t>
  </si>
  <si>
    <t>3) 14/15 Non-resident FTES based on Int'l Ed Plan.</t>
  </si>
  <si>
    <t>CalPERS Increase</t>
  </si>
  <si>
    <t>13/14 Tentative Budget</t>
  </si>
  <si>
    <t>2013/14</t>
  </si>
  <si>
    <t>fund 4</t>
  </si>
  <si>
    <t>Compensation Contingency for 13/14 Simulation</t>
  </si>
  <si>
    <t>Less 12/13 budget</t>
  </si>
  <si>
    <t>Prop 30/One Time</t>
  </si>
  <si>
    <t>Total Allocation</t>
  </si>
  <si>
    <t>Projected 
FY13-14 Expense</t>
  </si>
  <si>
    <t>Fund 1 Only</t>
  </si>
  <si>
    <t xml:space="preserve">Energy Mgmt Coordinator </t>
  </si>
  <si>
    <t>(191S/Step 2) inc benefits</t>
  </si>
  <si>
    <t>updated April 29, 2013</t>
  </si>
  <si>
    <t>12-13
Original</t>
  </si>
  <si>
    <t>12-13
Revised</t>
  </si>
  <si>
    <t>Tentative</t>
  </si>
  <si>
    <t>4) 1.565% state revenue COLA.</t>
  </si>
  <si>
    <t>Sum the 13/14 Site Allocations with all of the adjustments.</t>
  </si>
  <si>
    <t>13) Property tax increase</t>
  </si>
  <si>
    <t>Int'l Student Growth</t>
  </si>
  <si>
    <t>Total FTES</t>
  </si>
  <si>
    <t>Overall including Int'l</t>
  </si>
  <si>
    <t>Change from 13/14</t>
  </si>
  <si>
    <t>Change from 14/15</t>
  </si>
  <si>
    <t>13/14 budget</t>
  </si>
  <si>
    <t>Accreditation issues</t>
  </si>
  <si>
    <t>5) 1.63% state funded growth.</t>
  </si>
  <si>
    <t>Property Taxes (Base Revenue)*</t>
  </si>
  <si>
    <t>RDA (Restoration/Growth)*</t>
  </si>
  <si>
    <t>Student Fees (PFE)*</t>
  </si>
  <si>
    <t>*Row descriptions changed in 2013/14.</t>
  </si>
  <si>
    <t>Allocate 20% of the existing funding to each college based on the 5 yr average of FTES</t>
  </si>
  <si>
    <t>8/16 Prop 30</t>
  </si>
  <si>
    <t>8/16 1A</t>
  </si>
  <si>
    <t>Total as of 8/16</t>
  </si>
  <si>
    <t>8/28 Prop 30</t>
  </si>
  <si>
    <t>8/28 1A</t>
  </si>
  <si>
    <t>Total as of 8/28</t>
  </si>
  <si>
    <t>Change from 8/29</t>
  </si>
  <si>
    <t>Prop 30</t>
  </si>
  <si>
    <t>Change from 8/16</t>
  </si>
  <si>
    <t>Add 1.565% COLA to 13/14 per FTES allocation of $3729 to get $3788 per FTES.</t>
  </si>
  <si>
    <t>10) Per salary compensation settlement.</t>
  </si>
  <si>
    <t>Assumptions for 2016/17 Budget Scenario</t>
  </si>
  <si>
    <t>8) Utilities and benefits are based 12/13 increase over 11/12.</t>
  </si>
  <si>
    <t>2016-17</t>
  </si>
  <si>
    <t>16/17</t>
  </si>
  <si>
    <t>15/16 funded</t>
  </si>
  <si>
    <t>Change from 15/16</t>
  </si>
  <si>
    <t>Compensation Contingency for 14/15 Simulation</t>
  </si>
  <si>
    <t>Less 13/14 budget</t>
  </si>
  <si>
    <t>16/17 COLA</t>
  </si>
  <si>
    <t>Based on 16/17 Budget</t>
  </si>
  <si>
    <t>Change from Fall 15 to Fall 16 Space Inventory Report</t>
  </si>
  <si>
    <t>Based on FTES Goals for 16/17</t>
  </si>
  <si>
    <t>16/17 FTES</t>
  </si>
  <si>
    <t>Calculate 15% and 6% of allocations in #4.</t>
  </si>
  <si>
    <t>16/17 Revenue</t>
  </si>
  <si>
    <t>Sum the 15/16 Site Allocations with all of the adjustments.</t>
  </si>
  <si>
    <t>16/17 Site Allocations</t>
  </si>
  <si>
    <t>Assumptions for 2017/18 Budget Scenario</t>
  </si>
  <si>
    <t>17/18</t>
  </si>
  <si>
    <t>16/17 funded</t>
  </si>
  <si>
    <t>Change from 16/17</t>
  </si>
  <si>
    <t>2017-18</t>
  </si>
  <si>
    <t>17/18 COLA</t>
  </si>
  <si>
    <t>Resource Allocation: 17/18 Budget Scenario</t>
  </si>
  <si>
    <t>Resource Allocation: 16/17 Budget Scenario</t>
  </si>
  <si>
    <t>Based on 17/18 Budget</t>
  </si>
  <si>
    <t>Change from Fall 16 to Fall 17 Space Inventory Report</t>
  </si>
  <si>
    <t>Based on FTES Goals for 17/18</t>
  </si>
  <si>
    <t>17/18 FTES</t>
  </si>
  <si>
    <t>Sum the 16/17 Site Allocations with all of the adjustments.</t>
  </si>
  <si>
    <t>17/18 Site Allocations</t>
  </si>
  <si>
    <t>4) .86% state revenue COLA.</t>
  </si>
  <si>
    <t>5) 3% state funded growth.</t>
  </si>
  <si>
    <t>Decrease  in Resident FTES</t>
  </si>
  <si>
    <t>18/19 COLA</t>
  </si>
  <si>
    <t>19/20 COLA</t>
  </si>
  <si>
    <t>20/21 COLA</t>
  </si>
  <si>
    <t>14/15 Budget</t>
  </si>
  <si>
    <t>2014/15</t>
  </si>
  <si>
    <t>14/15 Tentative Budget</t>
  </si>
  <si>
    <t>Community Ed</t>
  </si>
  <si>
    <t>Other Revenues:</t>
  </si>
  <si>
    <t>Locus Point</t>
  </si>
  <si>
    <t>10000-1001-8828-?</t>
  </si>
  <si>
    <t>18900-1032-</t>
  </si>
  <si>
    <t xml:space="preserve">-- </t>
  </si>
  <si>
    <t>Payroll Audit</t>
  </si>
  <si>
    <t xml:space="preserve">District Credit Card Charges </t>
  </si>
  <si>
    <t>10000-1001-2342-651000</t>
  </si>
  <si>
    <t>Special Events set-up Fnd incl 3% COLA</t>
  </si>
  <si>
    <t>18900-1032-2xxx-682000</t>
  </si>
  <si>
    <t>Community Ed salaries and benefits</t>
  </si>
  <si>
    <t>18900-1032-4xxx-682000</t>
  </si>
  <si>
    <t>Community Ed operating expenses</t>
  </si>
  <si>
    <t>IRS 1098 filing (ECSI)</t>
  </si>
  <si>
    <t>10000-1036-1259-669002</t>
  </si>
  <si>
    <t>10000-1001-7310-703001</t>
  </si>
  <si>
    <t>KCSM Locus Point</t>
  </si>
  <si>
    <t>New Benefit Package (?)</t>
  </si>
  <si>
    <t>  15102-1036-5211-674003</t>
  </si>
  <si>
    <t>Classified Staff Development</t>
  </si>
  <si>
    <t>  15100-1001-5211-674002</t>
  </si>
  <si>
    <t>Management Development (increase?)</t>
  </si>
  <si>
    <t>  14001-1001-1129-089903</t>
  </si>
  <si>
    <t>Faculty Professional Development</t>
  </si>
  <si>
    <t>10000-1036-5211-674006</t>
  </si>
  <si>
    <t>MOT ($30k each semester)</t>
  </si>
  <si>
    <t>18000-1001-****-******</t>
  </si>
  <si>
    <t>Guesstimate based on current list</t>
  </si>
  <si>
    <t>Elections</t>
  </si>
  <si>
    <t>18028-1001-5718-662002</t>
  </si>
  <si>
    <t xml:space="preserve">Last invoice paid was $604K </t>
  </si>
  <si>
    <t xml:space="preserve">REVENUE </t>
  </si>
  <si>
    <t>10002-2001-8849-870449</t>
  </si>
  <si>
    <t>Cosmetology Sales (Skyline)</t>
  </si>
  <si>
    <t>10004-4001-8849-870449</t>
  </si>
  <si>
    <t>Cosmetology Sales (CSM)</t>
  </si>
  <si>
    <t>10002-2001-8850-870450</t>
  </si>
  <si>
    <t>Facilities Use (Skyline)</t>
  </si>
  <si>
    <t>10003-3001-8850-870450</t>
  </si>
  <si>
    <t>Facilities Use (Cañada)</t>
  </si>
  <si>
    <t>10004-4001-8850-870450</t>
  </si>
  <si>
    <t>Facilities Use (CSM)</t>
  </si>
  <si>
    <t>10003-3001-8883-870479</t>
  </si>
  <si>
    <t>Transcript Fees</t>
  </si>
  <si>
    <t>10004-4001-8883-870479</t>
  </si>
  <si>
    <t>10002-2001-8883-870479</t>
  </si>
  <si>
    <t>18xxx-xxxx-8851-870455</t>
  </si>
  <si>
    <t>Cell Site income</t>
  </si>
  <si>
    <t>18046-3414-8850-870450</t>
  </si>
  <si>
    <t>SFSU</t>
  </si>
  <si>
    <t>18047/10001/8911-xxxxx</t>
  </si>
  <si>
    <t>Surplus Sales</t>
  </si>
  <si>
    <t>updated April 25, 2014</t>
  </si>
  <si>
    <t>15-16</t>
  </si>
  <si>
    <t>4. Allocate growth based on increase (or decrease) in 5-year FTES average.</t>
  </si>
  <si>
    <t>No change to P-2</t>
  </si>
  <si>
    <t>Trustee's Projects</t>
  </si>
  <si>
    <t>CalSTRS Increase</t>
  </si>
  <si>
    <t>Change from Tenative</t>
  </si>
  <si>
    <t>Business/Community Needs Survey</t>
  </si>
  <si>
    <t>5) 2.75% state funded growth.</t>
  </si>
  <si>
    <t>2) 14/15 FTES based on 13/14 P2</t>
  </si>
  <si>
    <t>2) 15/16 FTES based on zero growth over 14/15 FTES Goals.</t>
  </si>
  <si>
    <t>13/14 PA</t>
  </si>
  <si>
    <t>14/15 Medical Cap Increase</t>
  </si>
  <si>
    <t>includes diff from 13/14 actual to budget plus 14/15 cola plus 14/15 cola on adjuncts/overload</t>
  </si>
  <si>
    <t>1/2 year</t>
  </si>
  <si>
    <t>actual</t>
  </si>
  <si>
    <t>estimate</t>
  </si>
  <si>
    <t xml:space="preserve">Adjustment #1 is the one time increase in the Site Allocation for Cañada.  </t>
  </si>
  <si>
    <t>Allocate growth for international students only per the international student formula.</t>
  </si>
  <si>
    <t>Compensation Contingency for 15/16 Simulation</t>
  </si>
  <si>
    <t>PERS/STRS Rates</t>
  </si>
  <si>
    <t>Medical Cap Increase</t>
  </si>
  <si>
    <t>Adjustment #1 is the increases from the Site Allocations.  No college gets a decrease. No further adjustments at this time.</t>
  </si>
  <si>
    <t>3. Allocate $3.38 per square foot increase over previous year.</t>
  </si>
  <si>
    <t>Prop Tax Growth</t>
  </si>
  <si>
    <t>RDA Growth</t>
  </si>
  <si>
    <t>15/16 Revenue</t>
  </si>
  <si>
    <t>Calculate 15% and 7% of allocations in #4.</t>
  </si>
  <si>
    <t>CPI on non personnel</t>
  </si>
  <si>
    <t>Sal &amp; Benf</t>
  </si>
  <si>
    <t>Operating</t>
  </si>
  <si>
    <t>CPI</t>
  </si>
  <si>
    <t>13/14 Personnel/Non-personnel expenditures for calculation of CPI allocation for 15/16</t>
  </si>
  <si>
    <t>Innovation Fund</t>
  </si>
  <si>
    <t>Base</t>
  </si>
  <si>
    <t>15/16 Budget</t>
  </si>
  <si>
    <t>15/16 Tentative</t>
  </si>
  <si>
    <t>18059-1046-4510-662002</t>
  </si>
  <si>
    <t>Special Needs (Augment Ron)</t>
  </si>
  <si>
    <t>18057-1036-4512-674000</t>
  </si>
  <si>
    <t>HR Ergonomic Equip</t>
  </si>
  <si>
    <t>18206-2441-xxxx-639003</t>
  </si>
  <si>
    <t>SKY Workforce Contingency</t>
  </si>
  <si>
    <t>18303-3414-2191-190100</t>
  </si>
  <si>
    <t>Special Events Fund incl 3.5% COLA</t>
  </si>
  <si>
    <t>10000-1001-1259-669002</t>
  </si>
  <si>
    <t>10000-1001-4510-709004</t>
  </si>
  <si>
    <t>18046-3001-4510-089901</t>
  </si>
  <si>
    <t>18046-3414-1310-040110</t>
  </si>
  <si>
    <t>18046-3414-3999-040110</t>
  </si>
  <si>
    <t>18046-3414-x999-040110</t>
  </si>
  <si>
    <t>18046-3144-1270-679900</t>
  </si>
  <si>
    <t>18046-3144-3801-679900</t>
  </si>
  <si>
    <t>18046-3414-x999-679900</t>
  </si>
  <si>
    <t>TCOM--+ or - from here</t>
  </si>
  <si>
    <t>18048-3411-2/3x-490100</t>
  </si>
  <si>
    <t>18051-1038-4590-709004</t>
  </si>
  <si>
    <t>TCOM contracts</t>
  </si>
  <si>
    <t>18050-1038-5690-678000</t>
  </si>
  <si>
    <t>18061-1047-xxxx-647000</t>
  </si>
  <si>
    <t>International Ed--District</t>
  </si>
  <si>
    <t>18061-2415-xxxx-647000</t>
  </si>
  <si>
    <t>International Ed--SKY</t>
  </si>
  <si>
    <t>18061-3333-xxxx-647000</t>
  </si>
  <si>
    <t>International Ed--CAN</t>
  </si>
  <si>
    <t>18061-4333-xxxx-647000</t>
  </si>
  <si>
    <t>International Ed--CSM</t>
  </si>
  <si>
    <t xml:space="preserve">Management Development </t>
  </si>
  <si>
    <t xml:space="preserve">Last invoice paid was $462K </t>
  </si>
  <si>
    <t>These amounts are the augmentation that each site gets over and above what</t>
  </si>
  <si>
    <t>is built into their site allocations.</t>
  </si>
  <si>
    <t xml:space="preserve"> 10000-1001-8828-? </t>
  </si>
  <si>
    <t xml:space="preserve"> Locus Point </t>
  </si>
  <si>
    <t xml:space="preserve"> 18900-1032- </t>
  </si>
  <si>
    <t xml:space="preserve"> Community Ed </t>
  </si>
  <si>
    <t xml:space="preserve">Other Revenues 15/16: </t>
  </si>
  <si>
    <t>State funding for FT faculty</t>
  </si>
  <si>
    <t>8) Utilities and benefits are best estimates.</t>
  </si>
  <si>
    <t>Classified Training Academy</t>
  </si>
  <si>
    <t>4) 1.02% state revenue COLA.</t>
  </si>
  <si>
    <t>SparkPoint $25K to Sky &amp; Can</t>
  </si>
  <si>
    <t>Less 14/15 budget</t>
  </si>
  <si>
    <t>14/15 COLA Shortfall</t>
  </si>
  <si>
    <t>14/15 PA</t>
  </si>
  <si>
    <t>Increase  in Resident FTES</t>
  </si>
  <si>
    <t>17/18 funded</t>
  </si>
  <si>
    <t>Reserve</t>
  </si>
  <si>
    <t>Prepaid through 2016</t>
  </si>
  <si>
    <t>After COLA</t>
  </si>
  <si>
    <t>AFT Hrly COLA</t>
  </si>
  <si>
    <t>All other COLA/Step/LSI</t>
  </si>
  <si>
    <t>Medical cap Increase 1/1/16</t>
  </si>
  <si>
    <t>AFT medical cap increase</t>
  </si>
  <si>
    <t>Assumptions for 2018/19 Budget Scenario</t>
  </si>
  <si>
    <t>18/19</t>
  </si>
  <si>
    <t>18/19 funded</t>
  </si>
  <si>
    <t>Change from 17/18</t>
  </si>
  <si>
    <t>2018-19</t>
  </si>
  <si>
    <t>Resource Allocation: 18/19 Budget Scenario</t>
  </si>
  <si>
    <t>18/19 FTES</t>
  </si>
  <si>
    <t>Based on FTES Goals for 18/19</t>
  </si>
  <si>
    <t>18/19 Revenue</t>
  </si>
  <si>
    <t>Sum the 17/18 Site Allocations with all of the adjustments.</t>
  </si>
  <si>
    <t>18/19 Site Allocations</t>
  </si>
  <si>
    <t>Allocate 16/17 projected step and column increases.  Allocate compensation where settled and reserve where not settled.</t>
  </si>
  <si>
    <t>3) 16/17 Non-resident FTES same as last year; Int'l FTES based on college goals.</t>
  </si>
  <si>
    <t>3) 18/19 Non-resident FTES same as last year; Int'l FTES based on college goals.</t>
  </si>
  <si>
    <t>2016-17 Revenue and Expenditure Assumptions</t>
  </si>
  <si>
    <t>For the current year, we have 8 bonds disclosure. Each series disclosure is $750 + $500 for 2015 dissemination service fee.</t>
  </si>
  <si>
    <t xml:space="preserve">Bond </t>
  </si>
  <si>
    <t>Series</t>
  </si>
  <si>
    <t>Refunding</t>
  </si>
  <si>
    <t xml:space="preserve">Funding </t>
  </si>
  <si>
    <t>Remark:</t>
  </si>
  <si>
    <t>Measure H</t>
  </si>
  <si>
    <t>A</t>
  </si>
  <si>
    <t>Measure A</t>
  </si>
  <si>
    <t>A &amp; B</t>
  </si>
  <si>
    <t xml:space="preserve">Once completed fee goes to Gen. Fund </t>
  </si>
  <si>
    <t>Measure C</t>
  </si>
  <si>
    <t>A  B &amp; C</t>
  </si>
  <si>
    <t>Gen Fund</t>
  </si>
  <si>
    <t>2012 Refunding</t>
  </si>
  <si>
    <t>2014 Refunding</t>
  </si>
  <si>
    <t>Dissemination fee</t>
  </si>
  <si>
    <t>One time only</t>
  </si>
  <si>
    <t xml:space="preserve">Therefore the fee for $6,500 should be broken down into the following. </t>
  </si>
  <si>
    <t>Bond Disclosure Costs for 16/17</t>
  </si>
  <si>
    <t>Match for Shuttle Grant</t>
  </si>
  <si>
    <t>$110,000 per year for two years (16/17 and 17/18)</t>
  </si>
  <si>
    <t>8) Utilities and benefits are based 15/16 increase over 14/15.</t>
  </si>
  <si>
    <t>5) 2% state funded growth does not apply to us.</t>
  </si>
  <si>
    <t>6) Deficit factor on state revenue projected does not apply to comm-supp district.</t>
  </si>
  <si>
    <t>P-2</t>
  </si>
  <si>
    <t>14/15 Personnel/Non-personnel expenditures for calculation of CPI allocation for 16/17</t>
  </si>
  <si>
    <t>16/17 Budget</t>
  </si>
  <si>
    <t>16/17 Tentative</t>
  </si>
  <si>
    <t>Special Events Fund incl 4% COLA</t>
  </si>
  <si>
    <t>18050-1149-5699-709004</t>
  </si>
  <si>
    <t>MOT ($35k each semester per Ingrid)</t>
  </si>
  <si>
    <t>Intl</t>
  </si>
  <si>
    <t>other</t>
  </si>
  <si>
    <t>Projections for FY16-17*</t>
  </si>
  <si>
    <t>Projected 
FY16-17 Expense</t>
  </si>
  <si>
    <t>vs. FY15-16</t>
  </si>
  <si>
    <t>E&amp;S Mgr/U&amp;S Specialist</t>
  </si>
  <si>
    <t>increase in step</t>
  </si>
  <si>
    <t>including benefits</t>
  </si>
  <si>
    <t>subtotal (staff)</t>
  </si>
  <si>
    <t>increase in usage</t>
  </si>
  <si>
    <t>pending RFP results</t>
  </si>
  <si>
    <t>Fund 1 share</t>
  </si>
  <si>
    <t>DETAILS BY FUND NUMBER: (distribution still needs to be finalized)</t>
  </si>
  <si>
    <t>Fund#</t>
  </si>
  <si>
    <t>FY16-17</t>
  </si>
  <si>
    <t>10001-1149-2120/30-651000</t>
  </si>
  <si>
    <t>10001-1149-3801-651000</t>
  </si>
  <si>
    <t>10011-1149-5511-657000</t>
  </si>
  <si>
    <t>10011-1149-5512-657000</t>
  </si>
  <si>
    <t>10011-1149-5513-657000</t>
  </si>
  <si>
    <t>10011-1149-5514-657000</t>
  </si>
  <si>
    <t>10011-1149-5518-657000</t>
  </si>
  <si>
    <t>10011-1149-5830-657000</t>
  </si>
  <si>
    <t>water rights fees</t>
  </si>
  <si>
    <t>10012-1149-5511-657000</t>
  </si>
  <si>
    <t>51001-10392-5511-693000</t>
  </si>
  <si>
    <t>52001-10392-5511-691000</t>
  </si>
  <si>
    <t>10012-1149-5512-657000</t>
  </si>
  <si>
    <t>39001-1249-5512-695000</t>
  </si>
  <si>
    <t>51001-10392-5512-693000</t>
  </si>
  <si>
    <t>52001-10392-5512-691000</t>
  </si>
  <si>
    <t>10012-1149-5513-657000</t>
  </si>
  <si>
    <t>39001-1249-5513-695000</t>
  </si>
  <si>
    <t>51001-10392-5513-693000</t>
  </si>
  <si>
    <t>52001-10392-5513-691000</t>
  </si>
  <si>
    <t>10012-1149-5514-657000</t>
  </si>
  <si>
    <t>10012-1149-5515-657000</t>
  </si>
  <si>
    <t>39001-1249-5515-695000</t>
  </si>
  <si>
    <t>10012-1149-5518-657000</t>
  </si>
  <si>
    <t>10013-1149-5511-657000</t>
  </si>
  <si>
    <t>51001-10393-5511-693000</t>
  </si>
  <si>
    <t>52001-10393-5511-691000</t>
  </si>
  <si>
    <t>10013-1149-5512-657000</t>
  </si>
  <si>
    <t>39001-1349-5512-695000</t>
  </si>
  <si>
    <t>51001-10393-5512-693000</t>
  </si>
  <si>
    <t>52001-10393-5512-691000</t>
  </si>
  <si>
    <t>10013-1149-5513-657000</t>
  </si>
  <si>
    <t>51001-10393-5513-693000</t>
  </si>
  <si>
    <t>52001-10393-5513-691000</t>
  </si>
  <si>
    <t>10013-1149-5514-657000</t>
  </si>
  <si>
    <t>10013-1149-5515-657000</t>
  </si>
  <si>
    <t>39001-1349-5515-695000</t>
  </si>
  <si>
    <t>10013-1149-5518-657000</t>
  </si>
  <si>
    <t>10014-1149-5511-657000</t>
  </si>
  <si>
    <t>51001-10394-5511-693000</t>
  </si>
  <si>
    <t>52001-10394-5511-691000</t>
  </si>
  <si>
    <t>SMAC CHARGEBACK</t>
  </si>
  <si>
    <t>15% of usage (should be included in budget for 10014-1149-5511-657000 then apply chargeback)</t>
  </si>
  <si>
    <t>10014-1149-5512-657000</t>
  </si>
  <si>
    <t>39001-1449-5512-695000</t>
  </si>
  <si>
    <t>51001-10394-5512-693000</t>
  </si>
  <si>
    <t>52001-10394-5512-691000</t>
  </si>
  <si>
    <t>10014-1149-5513-657000</t>
  </si>
  <si>
    <t>39001-1449-5513-695000</t>
  </si>
  <si>
    <t>51001-10394-5513-693000</t>
  </si>
  <si>
    <t>52001-10394-5513-691000</t>
  </si>
  <si>
    <t>10014-1149-5513ST-657000</t>
  </si>
  <si>
    <t>sewer tax</t>
  </si>
  <si>
    <t>10014-1149-5514-657000</t>
  </si>
  <si>
    <t>10014-1149-5515-657000</t>
  </si>
  <si>
    <t>39001-1449-5515-695000</t>
  </si>
  <si>
    <t>51001-10394-5515-693000</t>
  </si>
  <si>
    <t>52001-10394-5515-691000</t>
  </si>
  <si>
    <t>10014-1149-5518-657000</t>
  </si>
  <si>
    <t>10001-1149-5652-651000</t>
  </si>
  <si>
    <t>10001-1149-5654-651000</t>
  </si>
  <si>
    <t>10001-1149-5830-651000</t>
  </si>
  <si>
    <t>Fund 1</t>
  </si>
  <si>
    <t xml:space="preserve">Last invoice paid was $363K </t>
  </si>
  <si>
    <t>2016/17</t>
  </si>
  <si>
    <t>15/16 PA</t>
  </si>
  <si>
    <t>Assumes only 3 qtrs</t>
  </si>
  <si>
    <t>No longer built into 18061.</t>
  </si>
  <si>
    <t>Base reserve for unknown settlements</t>
  </si>
  <si>
    <t>Allocate 17/18 projected step and column increases.  Allocate compensation where settled and reserve where not settled.</t>
  </si>
  <si>
    <t>State EEO Funding</t>
  </si>
  <si>
    <t>Plus special needs</t>
  </si>
  <si>
    <t>Tuition Reimbursement Program</t>
  </si>
  <si>
    <r>
      <t>Atkinson, Andelson</t>
    </r>
    <r>
      <rPr>
        <sz val="11"/>
        <color rgb="FF1F497D"/>
        <rFont val="Calibri"/>
        <family val="2"/>
      </rPr>
      <t xml:space="preserve">  </t>
    </r>
  </si>
  <si>
    <t>HR issues</t>
  </si>
  <si>
    <r>
      <t>Meyers, Nave</t>
    </r>
    <r>
      <rPr>
        <sz val="11"/>
        <color rgb="FF1F497D"/>
        <rFont val="Calibri"/>
        <family val="2"/>
      </rPr>
      <t xml:space="preserve"> </t>
    </r>
  </si>
  <si>
    <t>Hearing officer</t>
  </si>
  <si>
    <t>Total Comp %</t>
  </si>
  <si>
    <t>(restricted, not GF)</t>
  </si>
  <si>
    <t>BA Degree program</t>
  </si>
  <si>
    <t>10002-</t>
  </si>
  <si>
    <t>Per Ray Hernandez</t>
  </si>
  <si>
    <t>Less 15/16 budget</t>
  </si>
  <si>
    <t>Total Projected Expenses</t>
  </si>
  <si>
    <t>10000-1036-5211-675030</t>
  </si>
  <si>
    <t>Technology Advance (CTL)</t>
  </si>
  <si>
    <t>10000-1001-5870-679900</t>
  </si>
  <si>
    <t>10000-1001-5690-679900</t>
  </si>
  <si>
    <t>10000-1001-4510-679900</t>
  </si>
  <si>
    <t>10000-1038-2999-602200</t>
  </si>
  <si>
    <t>Soft/Hardware Maintenance</t>
  </si>
  <si>
    <t>10000-1038-5870-679900</t>
  </si>
  <si>
    <t>10000-1038-5820-679900</t>
  </si>
  <si>
    <t>10000-1038-5830-679900</t>
  </si>
  <si>
    <t>10000-1038-5690-679900</t>
  </si>
  <si>
    <t>10000-1038-5654-679900</t>
  </si>
  <si>
    <t>10000-1038-5653-679900</t>
  </si>
  <si>
    <t>10000-1038-5630-679900</t>
  </si>
  <si>
    <t>10000-1038-5621N-679900</t>
  </si>
  <si>
    <t>10000-1038-4513-679900</t>
  </si>
  <si>
    <t>Soft/Hardware Repair</t>
  </si>
  <si>
    <t>10000-1038-5621-679900</t>
  </si>
  <si>
    <t>Districtwide Phone Charges</t>
  </si>
  <si>
    <t>10000-1038-5514-679900</t>
  </si>
  <si>
    <t>Telephone Repair</t>
  </si>
  <si>
    <t>10000-1038-5630-657001</t>
  </si>
  <si>
    <t>Telephone supplies</t>
  </si>
  <si>
    <t>10000-1038-4510-679900</t>
  </si>
  <si>
    <t>Telephone Maintenance</t>
  </si>
  <si>
    <t>Professional Development</t>
  </si>
  <si>
    <t>14001-1001-1329-089903</t>
  </si>
  <si>
    <t>Mgmt Staff Development</t>
  </si>
  <si>
    <t>15100-1001-5211-674002</t>
  </si>
  <si>
    <t>Class Staff Development</t>
  </si>
  <si>
    <t>15102-1036-5211-674003</t>
  </si>
  <si>
    <t>Program Impr/TR Funds now Meas G</t>
  </si>
  <si>
    <t>16001-1001-1495-089902</t>
  </si>
  <si>
    <t>10000-1046-5718-662002</t>
  </si>
  <si>
    <t>10000-1001-5710-671000</t>
  </si>
  <si>
    <t>County Counsel</t>
  </si>
  <si>
    <t>10000-1001-5710-662002</t>
  </si>
  <si>
    <t>Consultant/Legal/Election</t>
  </si>
  <si>
    <t>10000-1001-5410-668000</t>
  </si>
  <si>
    <t>Self-Insurance</t>
  </si>
  <si>
    <t>10000-1001-5410-672000</t>
  </si>
  <si>
    <t>Resource Allocation Model</t>
  </si>
  <si>
    <t>10000-1001-4520-089901</t>
  </si>
  <si>
    <t>10000-1001-1111-089901</t>
  </si>
  <si>
    <t>Salary Adjustments</t>
  </si>
  <si>
    <t>Sewer Tax</t>
  </si>
  <si>
    <t>10011-1149-5513ST-657000</t>
  </si>
  <si>
    <t>Utilities Transferred to Parking</t>
  </si>
  <si>
    <t>10011-1149-7310-657000</t>
  </si>
  <si>
    <t>CSM Utilities/Exterminator</t>
  </si>
  <si>
    <t>CSM Utilities/Garbage</t>
  </si>
  <si>
    <t>CSM Utilities/Phone</t>
  </si>
  <si>
    <t>CSM Utilities/Water</t>
  </si>
  <si>
    <t>CSM Utilities/Electricity</t>
  </si>
  <si>
    <t>CSM Utilities/Gas</t>
  </si>
  <si>
    <t>Cañada Utilities/Exterminator</t>
  </si>
  <si>
    <t>Cañada Utilities/Garbage</t>
  </si>
  <si>
    <t>Cañada Utilities/Phone</t>
  </si>
  <si>
    <t>Cañada Utilities/Water</t>
  </si>
  <si>
    <t>Cañada Utilities/Electricity</t>
  </si>
  <si>
    <t>Cañada Utilities/Gas</t>
  </si>
  <si>
    <t>Skyline Utilities/Exterminator</t>
  </si>
  <si>
    <t>Skyline Utilities/Garbage</t>
  </si>
  <si>
    <t>Skyline Utilities/Phone</t>
  </si>
  <si>
    <t>Skyline Utilities/Water</t>
  </si>
  <si>
    <t>Skyline Utilities/Electricity</t>
  </si>
  <si>
    <t>Skyline Utilities/Gas</t>
  </si>
  <si>
    <t>District Office Utilities/Water Rights</t>
  </si>
  <si>
    <t>District Office Utilities/Exterminator</t>
  </si>
  <si>
    <t>District Office Utilities/Phone</t>
  </si>
  <si>
    <t>District Office Utilities/Water</t>
  </si>
  <si>
    <t>District Office Utilities/Electricity</t>
  </si>
  <si>
    <t>District Office Utilities/Gas</t>
  </si>
  <si>
    <t>K. Parks CWA 60%</t>
  </si>
  <si>
    <t>18002-3413-1110-220700</t>
  </si>
  <si>
    <t>Sarita Lopez 66%</t>
  </si>
  <si>
    <t>18503-3229-2130-671000</t>
  </si>
  <si>
    <t>Aun Linn Programmer Analyst</t>
  </si>
  <si>
    <t>18002-1038-2130-678000</t>
  </si>
  <si>
    <t>10000-1036-45x/56x-675010</t>
  </si>
  <si>
    <t>SparkPoint $25K each to SKY&amp;CAN</t>
  </si>
  <si>
    <t>10000-1001-5870-649900</t>
  </si>
  <si>
    <t>Special Evnts Fund inc 3.5% COLA</t>
  </si>
  <si>
    <t>18057-1036-45xx-674000</t>
  </si>
  <si>
    <t>18059-1046-4510-662004</t>
  </si>
  <si>
    <t>2016-17 FINAL Budget</t>
  </si>
  <si>
    <t>10000-1001-8890-871000</t>
  </si>
  <si>
    <t>Other State/Local Revenue (Misc.)</t>
  </si>
  <si>
    <t>10000-1001-8828-888800</t>
  </si>
  <si>
    <t>KCSM TV Locus Point</t>
  </si>
  <si>
    <t>18046-3001-8850-870450</t>
  </si>
  <si>
    <t>SFSU Nursing Contract (Cañada)</t>
  </si>
  <si>
    <t>10000-1001-8853-870428</t>
  </si>
  <si>
    <t>Land Lease</t>
  </si>
  <si>
    <t>10002-2001-8878-870426</t>
  </si>
  <si>
    <t>Library Fines Income (Skyline)</t>
  </si>
  <si>
    <t>10003-3001-8878-870426</t>
  </si>
  <si>
    <t>Library Fines Income (Cañada)</t>
  </si>
  <si>
    <t>10004-4001-8878-870426</t>
  </si>
  <si>
    <t>Library Fines Income (CSM)</t>
  </si>
  <si>
    <t>10002-2001-8878-870476</t>
  </si>
  <si>
    <t>Class Audit Fee (Skyline)</t>
  </si>
  <si>
    <t>10003-3001-8878-870476</t>
  </si>
  <si>
    <t>Class Audit Fee (Cañada)</t>
  </si>
  <si>
    <t>10004-4001-8878-870476</t>
  </si>
  <si>
    <t>Class Audit Fee (CSM)</t>
  </si>
  <si>
    <t>10003-3001-8890-870431</t>
  </si>
  <si>
    <t>Phone Commissions</t>
  </si>
  <si>
    <t>10004-4001-8890-870431</t>
  </si>
  <si>
    <t>10002-2001-8890-870447</t>
  </si>
  <si>
    <t>Duplicate Diploma</t>
  </si>
  <si>
    <t>10003-3001-8890-870447</t>
  </si>
  <si>
    <t>10004-4001-8890-870447</t>
  </si>
  <si>
    <t>18048-3001-8832-870455</t>
  </si>
  <si>
    <t>Verizon Satellite Income</t>
  </si>
  <si>
    <t>18048-4144-8851-870455</t>
  </si>
  <si>
    <t>18050-1149-8851-870455</t>
  </si>
  <si>
    <t>Facilities Satellite Income</t>
  </si>
  <si>
    <t>18050-1038-8850-870455</t>
  </si>
  <si>
    <t>18051-1038-8851-870455</t>
  </si>
  <si>
    <t>Sprint Satellite Income</t>
  </si>
  <si>
    <t>18050-4001-8851-870455</t>
  </si>
  <si>
    <t>18408-4229-8890-671000</t>
  </si>
  <si>
    <t>Community Education</t>
  </si>
  <si>
    <t>18061-1001-8891-871000</t>
  </si>
  <si>
    <t>International Education?--SKY &amp; CAN</t>
  </si>
  <si>
    <t>10004-4001-8819-871000</t>
  </si>
  <si>
    <t>Redevelopment Funds</t>
  </si>
  <si>
    <t>10000-1036-5710-671000</t>
  </si>
  <si>
    <t>HR Legal</t>
  </si>
  <si>
    <t>Legal Expenses Misc</t>
  </si>
  <si>
    <t>18046-3414-2191-190100</t>
  </si>
  <si>
    <t>18046-3414-3801-190100</t>
  </si>
  <si>
    <t>18046-3001-5870-089901</t>
  </si>
  <si>
    <t>SFSU/Nursing Cañada DO</t>
  </si>
  <si>
    <t>18050-4001-5699-651000</t>
  </si>
  <si>
    <t>18048-3001-4590-089901</t>
  </si>
  <si>
    <t>18051-1038-5690-678000</t>
  </si>
  <si>
    <t>SKYLINE</t>
  </si>
  <si>
    <t>CAÑADA</t>
  </si>
  <si>
    <t xml:space="preserve">8% of Non-Residents that are Non-Int’l </t>
  </si>
  <si>
    <t>Shouldn't these be budgeted in transfers out to Fund 2?</t>
  </si>
  <si>
    <t>Board Legal</t>
  </si>
  <si>
    <t>10000-1046-5710-xxxxxx</t>
  </si>
  <si>
    <t>Is it 5713 or 5710?</t>
  </si>
  <si>
    <t>10000-1001-</t>
  </si>
  <si>
    <t>General Fund: $3,000</t>
  </si>
  <si>
    <r>
      <rPr>
        <sz val="7"/>
        <color rgb="FF1F497D"/>
        <rFont val="Times New Roman"/>
        <family val="1"/>
      </rPr>
      <t xml:space="preserve"> </t>
    </r>
    <r>
      <rPr>
        <sz val="11"/>
        <color rgb="FF1F497D"/>
        <rFont val="Calibri"/>
        <family val="2"/>
      </rPr>
      <t>Fund 45000:       $750</t>
    </r>
  </si>
  <si>
    <t>Fund 47000:       $2,750 ($2,250 + $500)</t>
  </si>
  <si>
    <t>Bond Disclosure Costs</t>
  </si>
  <si>
    <t>???</t>
  </si>
  <si>
    <t>Just in case</t>
  </si>
  <si>
    <t>10) Per total compensation formula</t>
  </si>
  <si>
    <t>Assumptions for 2019/20 Budget Scenario</t>
  </si>
  <si>
    <t>3) 19/20 Non-resident FTES same as last year; Int'l FTES based on college goals.</t>
  </si>
  <si>
    <t>19/20</t>
  </si>
  <si>
    <t>19/20 funded</t>
  </si>
  <si>
    <t>Change from 18/19</t>
  </si>
  <si>
    <t>Preliminary Budget</t>
  </si>
  <si>
    <t>2019-20</t>
  </si>
  <si>
    <t>Resource Allocation: 19/20 Budget Scenario</t>
  </si>
  <si>
    <t>Based on 18/19 Budget</t>
  </si>
  <si>
    <t>Change from Fall 17 to Fall 18 Space Inventory Report</t>
  </si>
  <si>
    <t>Change from Fall 18 to Fall 19 Space Inventory Report</t>
  </si>
  <si>
    <t>19/20 FTES</t>
  </si>
  <si>
    <t>Based on FTES Goals for 19/20</t>
  </si>
  <si>
    <t>18/19FTES</t>
  </si>
  <si>
    <t>5. District Office &amp;Central Services get growth in international students costs per the formula.</t>
  </si>
  <si>
    <r>
      <rPr>
        <b/>
        <sz val="10"/>
        <rFont val="Arial"/>
        <family val="2"/>
      </rPr>
      <t>Rev-Exp Plan (3):</t>
    </r>
    <r>
      <rPr>
        <sz val="10"/>
        <rFont val="Arial"/>
        <family val="2"/>
      </rPr>
      <t xml:space="preserve"> This 08/09 page shows the current year budget with any one time allocations.</t>
    </r>
  </si>
  <si>
    <r>
      <t>Resource Alloc for future years:</t>
    </r>
    <r>
      <rPr>
        <sz val="10"/>
        <rFont val="Arial"/>
        <family val="2"/>
      </rPr>
      <t xml:space="preserve"> These pages just carry the formulas on for the next three years and are useful for the colleges and for </t>
    </r>
  </si>
  <si>
    <r>
      <t>CPI:</t>
    </r>
    <r>
      <rPr>
        <sz val="10"/>
        <rFont val="Arial"/>
        <family val="2"/>
      </rPr>
      <t xml:space="preserve"> This page tracks the allocation for the expense budget CPI that started in 13/14</t>
    </r>
  </si>
  <si>
    <t>pages are linked to the assumptions here and will change if the numbers on this page are changed. The assumptions are for budget year plus 2.</t>
  </si>
  <si>
    <t>3) 17/18 Non-resident FTES same as last year; Int'l FTES based on college estimates.</t>
  </si>
  <si>
    <t>2) 16/17 FTES based on zero growth over 15/16 FTES Actuals.</t>
  </si>
  <si>
    <t>2) 17/18 FTES based on -1% FTES decline over 16/17 FTES Goals/Actuals.</t>
  </si>
  <si>
    <t>2) 19/20 FTES based on -1% FTES decline over 18/19 FTES Goals.</t>
  </si>
  <si>
    <t>Prop 30-55/One Time</t>
  </si>
  <si>
    <t>Prop 30/55 (Basic Skills)*</t>
  </si>
  <si>
    <t>Reserve shortfall</t>
  </si>
  <si>
    <t>Int'l Student Total</t>
  </si>
  <si>
    <t>Prop 30/55/One Time</t>
  </si>
  <si>
    <t>4) 1.56% state revenue COLA.</t>
  </si>
  <si>
    <t>5) 1% state funded growth.</t>
  </si>
  <si>
    <t>14) Lottery rate</t>
  </si>
  <si>
    <t>s/b Exhibit C</t>
  </si>
  <si>
    <t>close</t>
  </si>
  <si>
    <t>Revenue</t>
  </si>
  <si>
    <t>Skyline Respiratory Therapy</t>
  </si>
  <si>
    <t>Payflex</t>
  </si>
  <si>
    <t>10000-1046/1036-5xx-675010</t>
  </si>
  <si>
    <t>10002-2001-8886-870000</t>
  </si>
  <si>
    <t>10011-1149-5517-679900</t>
  </si>
  <si>
    <t>SMAC charges</t>
  </si>
  <si>
    <t>10000-1001-7310-668000</t>
  </si>
  <si>
    <t>Insurance???</t>
  </si>
  <si>
    <t>10000-1001-5713-662002</t>
  </si>
  <si>
    <t>County Counsel (2x a year)</t>
  </si>
  <si>
    <t>Legal Expenses</t>
  </si>
  <si>
    <t>10000-1036-5710/13-671000</t>
  </si>
  <si>
    <t>HR (AALR, Ucceli, Myers, LCW)</t>
  </si>
  <si>
    <t>10000-1001-5718-662002</t>
  </si>
  <si>
    <t>Election holding</t>
  </si>
  <si>
    <t>CO (Holland and Knight)</t>
  </si>
  <si>
    <t>Program Impr/Trustees Funds</t>
  </si>
  <si>
    <t>revenue proected based on PY actuals</t>
  </si>
  <si>
    <t>18050-1149-5699-651000</t>
  </si>
  <si>
    <t>although short of $200K of 13% reserves, some ending fund balance at year end will probably be set aside to cover that shortfall.</t>
  </si>
  <si>
    <t>CIP3 Projected Space Changes by Fiscal Year (as of 4/27/17)</t>
  </si>
  <si>
    <t>FY</t>
  </si>
  <si>
    <t>Location</t>
  </si>
  <si>
    <t>Sq Ft (Inc/Dec)</t>
  </si>
  <si>
    <t>U/M</t>
  </si>
  <si>
    <t>Total Change in SF by FY</t>
  </si>
  <si>
    <t>FY17-18</t>
  </si>
  <si>
    <t>2 Team House Portables</t>
  </si>
  <si>
    <t>CAN B1</t>
  </si>
  <si>
    <t>CSM B3</t>
  </si>
  <si>
    <t>CSM B17</t>
  </si>
  <si>
    <t>1 Team House Portable</t>
  </si>
  <si>
    <t>FY18-19</t>
  </si>
  <si>
    <t xml:space="preserve">SKY </t>
  </si>
  <si>
    <t>SKY B1</t>
  </si>
  <si>
    <t>FY19-20</t>
  </si>
  <si>
    <t>CAN B23</t>
  </si>
  <si>
    <t>FY20-21</t>
  </si>
  <si>
    <t>they get half of money from growth and hallf from FTES</t>
  </si>
  <si>
    <t>2) 17/18 FTES based on college estimates</t>
  </si>
  <si>
    <t>7) 3.42% inflation on certain expenses.</t>
  </si>
  <si>
    <t>8) Utilities and benefits are staff estimates</t>
  </si>
  <si>
    <t>16/17 PA</t>
  </si>
  <si>
    <t>needs update Intl line 138</t>
  </si>
  <si>
    <t>Former RDA Other Fund</t>
  </si>
  <si>
    <t>8816RD</t>
  </si>
  <si>
    <t>8816U</t>
  </si>
  <si>
    <t>8818BA</t>
  </si>
  <si>
    <t>8818SA</t>
  </si>
  <si>
    <t>88191A</t>
  </si>
  <si>
    <t>8819OF</t>
  </si>
  <si>
    <t>8819PR</t>
  </si>
  <si>
    <t>8818NA</t>
  </si>
  <si>
    <t>√</t>
  </si>
  <si>
    <t xml:space="preserve">Skyline </t>
  </si>
  <si>
    <t>Bogg</t>
  </si>
  <si>
    <t>Out of State tuition</t>
  </si>
  <si>
    <t>Non-Resident International only</t>
  </si>
  <si>
    <t>Out of State Tution</t>
  </si>
  <si>
    <t># FTES</t>
  </si>
  <si>
    <t>assumes actual 16/17</t>
  </si>
  <si>
    <t>plus change in rate</t>
  </si>
  <si>
    <t>STRS on behalf</t>
  </si>
  <si>
    <t>STRS on behalf payment</t>
  </si>
  <si>
    <t>2017-18 FINAL Budget</t>
  </si>
  <si>
    <t>Special Evnts Fund inc 2.4% COLA</t>
  </si>
  <si>
    <t>10002-2001-4590-170100</t>
  </si>
  <si>
    <t>Skyline BS Respiratory Therapy</t>
  </si>
  <si>
    <t>18002-1047-2112-661000</t>
  </si>
  <si>
    <t>Gregory Anderson/Aaron McVean?</t>
  </si>
  <si>
    <t>18002-2443-1258-602003</t>
  </si>
  <si>
    <t>Carla Grandy/Jesse Raskin</t>
  </si>
  <si>
    <t>18002-2443-2130-631000</t>
  </si>
  <si>
    <t>Marianne Beck 50%</t>
  </si>
  <si>
    <t>Nai Saechao 70%</t>
  </si>
  <si>
    <t>K. Parks CWA 100%</t>
  </si>
  <si>
    <t>18002-3413-2120-663000</t>
  </si>
  <si>
    <t>Jeri Eznekier 80%</t>
  </si>
  <si>
    <t>18002-3416-2130-619002</t>
  </si>
  <si>
    <t>Julian Taylor 16%</t>
  </si>
  <si>
    <t>18413-4229-2130-683000</t>
  </si>
  <si>
    <t>Anne Calija 100%</t>
  </si>
  <si>
    <t>18411-4339-1270-649900</t>
  </si>
  <si>
    <t>Sharon B and Gloria D 30%/20%</t>
  </si>
  <si>
    <t>18411-4411-12/xx-601004</t>
  </si>
  <si>
    <t>R Kaupp/Heidi/R Shoffner 30%/20%</t>
  </si>
  <si>
    <t>18411-4421-2130-639010</t>
  </si>
  <si>
    <t>Katie Bliss 100%</t>
  </si>
  <si>
    <t>10002-2415-8889-870480</t>
  </si>
  <si>
    <t>International Application Fees (Skyline)</t>
  </si>
  <si>
    <t>10003-3340-8889-870480</t>
  </si>
  <si>
    <t>International Application Fees (Cañada)</t>
  </si>
  <si>
    <t>10004-4333-8889-870480</t>
  </si>
  <si>
    <t>International Application Fees (CSM)</t>
  </si>
  <si>
    <t>agreed upon amount</t>
  </si>
  <si>
    <t>AFT has release time for negotiating--this is to pay subs</t>
  </si>
  <si>
    <t>AS has release time for negotiating--this is to pay subs</t>
  </si>
  <si>
    <t>Insurance (X fr out to F2)</t>
  </si>
  <si>
    <t>formula</t>
  </si>
  <si>
    <t>Less 16/17budget</t>
  </si>
  <si>
    <t>15/16 Personnel/Non-personnel expenditures for calculation of CPI allocation for 16/17</t>
  </si>
  <si>
    <t>includes STRS pass through</t>
  </si>
  <si>
    <t>bldg off line</t>
  </si>
  <si>
    <t>PY Comp</t>
  </si>
  <si>
    <t>1% one time bonus</t>
  </si>
  <si>
    <t>adjust 16/17 reserve</t>
  </si>
  <si>
    <t>Adjustment for 17/18 reserve</t>
  </si>
  <si>
    <t>Prior Year steps colums</t>
  </si>
  <si>
    <t>Assumptions for 2020/21 Budget Scenario</t>
  </si>
  <si>
    <t>after Adopted best to hard code all links/numbers so they do not change if numbers are changed elsewhere</t>
  </si>
  <si>
    <t>&lt;-----</t>
  </si>
  <si>
    <t>copied from</t>
  </si>
  <si>
    <t>adjust based on P-1</t>
  </si>
  <si>
    <t>contact all program reports asking re: this year and next year headcount</t>
  </si>
  <si>
    <t>Whison Benani, Dani Redding Lapuze, Canada?</t>
  </si>
  <si>
    <t xml:space="preserve">non-int'l get from P-1 and back inot non-res </t>
  </si>
  <si>
    <t>from dartboard</t>
  </si>
  <si>
    <t>8) Utilities and benefits are based 17/18 increase over 16/17.</t>
  </si>
  <si>
    <t>may adjust down by another 2% if 17/18 is down by 2%</t>
  </si>
  <si>
    <t>20/21</t>
  </si>
  <si>
    <t>2020-21</t>
  </si>
  <si>
    <t>tie to P-1</t>
  </si>
  <si>
    <t>insert some cells and hard code # from exh C to match revenue limit on exh C--they include other stuff such as faculty , etc</t>
  </si>
  <si>
    <t>link</t>
  </si>
  <si>
    <t>use PY actual plus FT from exh C</t>
  </si>
  <si>
    <t>Exh B-2C</t>
  </si>
  <si>
    <t>Advanced</t>
  </si>
  <si>
    <t>from Exh B-2A advanced</t>
  </si>
  <si>
    <t>actual pY</t>
  </si>
  <si>
    <t>est based on actual-from Bernata</t>
  </si>
  <si>
    <t>same as PY</t>
  </si>
  <si>
    <t>check in July when notice from state-Nettie</t>
  </si>
  <si>
    <t>same as last year until new data available</t>
  </si>
  <si>
    <t>same as last year to start with</t>
  </si>
  <si>
    <t>contingency acc for benefits pmts</t>
  </si>
  <si>
    <t>same as revenue</t>
  </si>
  <si>
    <t>from David</t>
  </si>
  <si>
    <t>contingency</t>
  </si>
  <si>
    <t>comp increases from PY plus comp incr from this year</t>
  </si>
  <si>
    <t>added 500K for election</t>
  </si>
  <si>
    <t>Always past special vAlues</t>
  </si>
  <si>
    <t>ask Arlene for space inventory</t>
  </si>
  <si>
    <t>need also gross sq ft</t>
  </si>
  <si>
    <t>B</t>
  </si>
  <si>
    <t>CPI on B budget</t>
  </si>
  <si>
    <t>adds Prop 30$$</t>
  </si>
  <si>
    <t>Resource Allocation: 20/21 Budget Scenario</t>
  </si>
  <si>
    <t>19/20 Site Allocations</t>
  </si>
  <si>
    <t>Allocate 19/20 projected step and column increases.  Allocate compensation where settled and reserve where not settled.</t>
  </si>
  <si>
    <t>Sum the 19/20 Site Allocations with all of the adjustments.</t>
  </si>
  <si>
    <t>20/21 FTES</t>
  </si>
  <si>
    <t>until I get better #</t>
  </si>
  <si>
    <t>TOTAL EXP</t>
  </si>
  <si>
    <t>TOTAL REVENUE</t>
  </si>
  <si>
    <t>addt'l 2 M each year</t>
  </si>
  <si>
    <t>2017/18</t>
  </si>
  <si>
    <t>Projections based on actuals (ours)</t>
  </si>
  <si>
    <t>Total Actual</t>
  </si>
  <si>
    <t>Budget</t>
  </si>
  <si>
    <t>projected(county)</t>
  </si>
  <si>
    <t>Genentech</t>
  </si>
  <si>
    <t>Total Projected</t>
  </si>
  <si>
    <t>P-1 Act</t>
  </si>
  <si>
    <t>rest of year</t>
  </si>
  <si>
    <t>Total Proj</t>
  </si>
  <si>
    <t>Prop tax increase</t>
  </si>
  <si>
    <t>2018/19</t>
  </si>
  <si>
    <t>Total 2018/19 Proj</t>
  </si>
  <si>
    <t>Subventa HOME</t>
  </si>
  <si>
    <t>Subvent/Other</t>
  </si>
  <si>
    <t>In Lieu</t>
  </si>
  <si>
    <t>Secured Taxes</t>
  </si>
  <si>
    <t>Supplemental-Current Yr</t>
  </si>
  <si>
    <t>8812 PY</t>
  </si>
  <si>
    <t>Supplemental-PY</t>
  </si>
  <si>
    <t>RDA Adj-PY</t>
  </si>
  <si>
    <t>Unsec -PY</t>
  </si>
  <si>
    <t>Pass through AB1290</t>
  </si>
  <si>
    <t>RDA-Basic Aid</t>
  </si>
  <si>
    <t>RDA-Neg Agreement</t>
  </si>
  <si>
    <t>8818OT</t>
  </si>
  <si>
    <t>RDA-Other</t>
  </si>
  <si>
    <t>RDA 2% Statutory</t>
  </si>
  <si>
    <t>RDA Asset Liquidation</t>
  </si>
  <si>
    <t>RDA-Former Residual</t>
  </si>
  <si>
    <t>should go up by prop tax increase</t>
  </si>
  <si>
    <t>built on column C</t>
  </si>
  <si>
    <t xml:space="preserve">same as last year for all rest, increase salmon for prop tax assumption </t>
  </si>
  <si>
    <t>in yelow-on county schedule of pmt</t>
  </si>
  <si>
    <t>$1M will go towards Promise, some towards fee waiver</t>
  </si>
  <si>
    <t>4) 2.71% state revenue COLA.</t>
  </si>
  <si>
    <t>Update P-2</t>
  </si>
  <si>
    <t>projected(county) P-2</t>
  </si>
  <si>
    <t>P-2 Proj + Act</t>
  </si>
  <si>
    <t>adjusted increase to 3% only</t>
  </si>
  <si>
    <t>Less 17/18budget</t>
  </si>
  <si>
    <t>balances step 7 remining balance</t>
  </si>
  <si>
    <t>Promise program</t>
  </si>
  <si>
    <t>Put P-2 data, insrtead of Budget</t>
  </si>
  <si>
    <t>10000-1038-5695-679900</t>
  </si>
  <si>
    <t>10000-1038-5694-679900</t>
  </si>
  <si>
    <t>Tuition Reimbursement?</t>
  </si>
  <si>
    <t>15102-1036-5291-675011</t>
  </si>
  <si>
    <t>PDA?</t>
  </si>
  <si>
    <t>15102-1036-5211-675010</t>
  </si>
  <si>
    <t>HR (AALR,LCW)</t>
  </si>
  <si>
    <t>Aux/SMAC charges</t>
  </si>
  <si>
    <t>X-fr in</t>
  </si>
  <si>
    <t xml:space="preserve">in F2 </t>
  </si>
  <si>
    <t>now Credentials</t>
  </si>
  <si>
    <t>Special Evnts Fund inc 2% COLA</t>
  </si>
  <si>
    <t>18313-3001-8850-870450</t>
  </si>
  <si>
    <t>18413-4229-8850-870450</t>
  </si>
  <si>
    <t>=</t>
  </si>
  <si>
    <t>Cassandra's PDA</t>
  </si>
  <si>
    <t>Professional Development-FA</t>
  </si>
  <si>
    <t>17/18 budgeted</t>
  </si>
  <si>
    <t>18/19 budgeted prop taxes</t>
  </si>
  <si>
    <t>80% for total comp</t>
  </si>
  <si>
    <t>reduced by $3.5M to draw from F8 to balance</t>
  </si>
  <si>
    <t>75K for tuition reimbursement</t>
  </si>
  <si>
    <t>budgeted at CS off top</t>
  </si>
  <si>
    <t>COLA PYRS</t>
  </si>
  <si>
    <t>includes IF transfer for positions bugeted in F3 for promise program</t>
  </si>
  <si>
    <t xml:space="preserve">CS portion </t>
  </si>
  <si>
    <t xml:space="preserve">Prop Taxes increase: </t>
  </si>
  <si>
    <t>7) 3.66% inflation on certain expenses.</t>
  </si>
  <si>
    <t>Update 7/6/18</t>
  </si>
  <si>
    <t>8) Utilities and benefits are based 18/19 increase over 17/16</t>
  </si>
  <si>
    <t>8) Utilities and benefits are based 19/20increase over 18/19</t>
  </si>
  <si>
    <t>4) 2.57% state revenue COLA.</t>
  </si>
  <si>
    <t>4) 2.67% state revenue COLA.</t>
  </si>
  <si>
    <t>7) 3.5% inflation on certain expenses.</t>
  </si>
  <si>
    <t>7) 3.23% inflation on certain expenses.</t>
  </si>
  <si>
    <t>15) Mandate Block Grant 29.21 per FTES</t>
  </si>
  <si>
    <t>Update 7/20/18</t>
  </si>
  <si>
    <t>2017/18 Actual</t>
  </si>
  <si>
    <t>budgeted at Tentative and for COLA</t>
  </si>
  <si>
    <t>as compared to 10,523</t>
  </si>
  <si>
    <t>close enough</t>
  </si>
  <si>
    <t>next year budgeting flat as county projections are 10,365</t>
  </si>
  <si>
    <t>in 19/20 proj are 10,515, leave flat unless new projections</t>
  </si>
  <si>
    <t>from LT projections of taxing agency revenues from wind-down of redevelopment in SM county</t>
  </si>
  <si>
    <t>Use for Adopted Budget</t>
  </si>
  <si>
    <t>no adj this year, might be $385K in the future (7% of 5.5M)</t>
  </si>
  <si>
    <t>8874BG</t>
  </si>
  <si>
    <t>Account:</t>
  </si>
  <si>
    <t>ENROLLMENT FEE - BS DEGREE</t>
  </si>
  <si>
    <t>17/18-PA</t>
  </si>
  <si>
    <t>office Hrs</t>
  </si>
  <si>
    <t>Med Ben</t>
  </si>
  <si>
    <t>increase for KCSM  TV</t>
  </si>
  <si>
    <t>Promise Program Fee Waiver</t>
  </si>
  <si>
    <t>88XX</t>
  </si>
  <si>
    <t>Nettie, please check on Account code</t>
  </si>
  <si>
    <t>Adjustment for COLA not used</t>
  </si>
  <si>
    <t>reserved</t>
  </si>
  <si>
    <t>bad debt</t>
  </si>
  <si>
    <t>2018-19 Adopted Budget</t>
  </si>
  <si>
    <t>subs for AFT on committees/negotiating team/release time</t>
  </si>
  <si>
    <t>just in case /mini-contingency</t>
  </si>
  <si>
    <t>split between multiple accounts</t>
  </si>
  <si>
    <t>distributed based on FTES (RA)to colleges</t>
  </si>
  <si>
    <t>150K for class staff distributed based on headcount  to sites, inc l district.  12K for class retreat dw</t>
  </si>
  <si>
    <t>one off not ACBO</t>
  </si>
  <si>
    <t>1% of tenured salaries</t>
  </si>
  <si>
    <t>Priscilla Moreno</t>
  </si>
  <si>
    <t>budget based on PY actuals</t>
  </si>
  <si>
    <t>both CSM and Sky, need ot be distributed lated on</t>
  </si>
  <si>
    <t>Skyline Cosmetology Sales</t>
  </si>
  <si>
    <t>CSMCosmetology Sales</t>
  </si>
  <si>
    <t>10004-4001-4510-300700</t>
  </si>
  <si>
    <t>10002-2001-4510-300700</t>
  </si>
  <si>
    <t>8% of res out of state tuition goes to colleges based on fees collected in PY</t>
  </si>
  <si>
    <t>ask Roxanne re: contract</t>
  </si>
  <si>
    <t>facilites</t>
  </si>
  <si>
    <t>ITS</t>
  </si>
  <si>
    <t>all three sites</t>
  </si>
  <si>
    <t>10002-2001-4510-709004</t>
  </si>
  <si>
    <t>SkylineFacility Rental</t>
  </si>
  <si>
    <t>18413-4229-4510-709004</t>
  </si>
  <si>
    <t>18313-3001-4510-709004</t>
  </si>
  <si>
    <t>AS has release time for presidents--this is to pay subs</t>
  </si>
  <si>
    <t>abatement?</t>
  </si>
  <si>
    <t>2018/19 Foundation Budgeting:</t>
  </si>
  <si>
    <t>District pays 750K plus COLA</t>
  </si>
  <si>
    <t>Foundation pays rest</t>
  </si>
  <si>
    <t>only for salaries and benefits</t>
  </si>
  <si>
    <t>Tykia</t>
  </si>
  <si>
    <t>Anthony</t>
  </si>
  <si>
    <t>Daphna</t>
  </si>
  <si>
    <t>Sal</t>
  </si>
  <si>
    <t>Ben</t>
  </si>
  <si>
    <t>District pays</t>
  </si>
  <si>
    <t>min of $750000</t>
  </si>
  <si>
    <t>plus COLA</t>
  </si>
  <si>
    <t>district would pay all above in this case</t>
  </si>
  <si>
    <t>PAF in F1</t>
  </si>
  <si>
    <t xml:space="preserve">foundation gives us check for rest </t>
  </si>
  <si>
    <t>as well as reimburse for procard</t>
  </si>
  <si>
    <t>Rachelle bills</t>
  </si>
  <si>
    <t>Org</t>
  </si>
  <si>
    <t>Account</t>
  </si>
  <si>
    <t>Program</t>
  </si>
  <si>
    <t>5690</t>
  </si>
  <si>
    <t>4510</t>
  </si>
  <si>
    <t>4512</t>
  </si>
  <si>
    <t>2342</t>
  </si>
  <si>
    <t>5714</t>
  </si>
  <si>
    <t>5797</t>
  </si>
  <si>
    <t/>
  </si>
  <si>
    <t>1259</t>
  </si>
  <si>
    <t>1495</t>
  </si>
  <si>
    <t>4590</t>
  </si>
  <si>
    <t>5870</t>
  </si>
  <si>
    <t>5699</t>
  </si>
  <si>
    <t>5860</t>
  </si>
  <si>
    <t>5861</t>
  </si>
  <si>
    <t>675020</t>
  </si>
  <si>
    <t>662004</t>
  </si>
  <si>
    <t>674000</t>
  </si>
  <si>
    <t>651000</t>
  </si>
  <si>
    <t>672001</t>
  </si>
  <si>
    <t>671000</t>
  </si>
  <si>
    <t>669002</t>
  </si>
  <si>
    <t>603000</t>
  </si>
  <si>
    <t>170100</t>
  </si>
  <si>
    <t>672000</t>
  </si>
  <si>
    <t>675010</t>
  </si>
  <si>
    <t>18044</t>
  </si>
  <si>
    <t>18059</t>
  </si>
  <si>
    <t>18057</t>
  </si>
  <si>
    <t>10000</t>
  </si>
  <si>
    <t>10002</t>
  </si>
  <si>
    <t>5XXX</t>
  </si>
  <si>
    <t>1035</t>
  </si>
  <si>
    <t>1046</t>
  </si>
  <si>
    <t>1036</t>
  </si>
  <si>
    <t>1001</t>
  </si>
  <si>
    <t>2001</t>
  </si>
  <si>
    <t>1046/1036</t>
  </si>
  <si>
    <t>Savage, Antonia 4C0078</t>
  </si>
  <si>
    <t>Muller, Michele 4C0187</t>
  </si>
  <si>
    <t>Projections for FY18-19*</t>
  </si>
  <si>
    <t>Projected 
FY18-19 Expense</t>
  </si>
  <si>
    <t>Projected 
FY1718 Expense</t>
  </si>
  <si>
    <t>E&amp;S Mgr / U&amp;S Specialist</t>
  </si>
  <si>
    <t>3 positions</t>
  </si>
  <si>
    <t>inc benefits</t>
  </si>
  <si>
    <t>csm solar didn't happen</t>
  </si>
  <si>
    <t>dependent on weather; variable rate</t>
  </si>
  <si>
    <t xml:space="preserve">increase in water usage and costs;increased projection for sewer tax </t>
  </si>
  <si>
    <t>addition of organics service</t>
  </si>
  <si>
    <t>DETAILS BY FUND NUMBER:</t>
  </si>
  <si>
    <t>10001-1149-21xx/3xxx-651000</t>
  </si>
  <si>
    <t>F1</t>
  </si>
  <si>
    <t xml:space="preserve">do not include in ongoing </t>
  </si>
  <si>
    <t>Total F1</t>
  </si>
  <si>
    <t>IF trasf from F 1 to F3 for Parking</t>
  </si>
  <si>
    <t>IF transfer to F3</t>
  </si>
  <si>
    <t>To Fund 3 to Fund Promise Programs COLAs</t>
  </si>
  <si>
    <t>Holding Account</t>
  </si>
  <si>
    <t>Colleges to budget Transfer in</t>
  </si>
  <si>
    <t>added to Misc line</t>
  </si>
  <si>
    <t>increased SQ FT?</t>
  </si>
  <si>
    <t>Portable</t>
  </si>
  <si>
    <t>Boiler Bldg</t>
  </si>
  <si>
    <t>Oceana</t>
  </si>
  <si>
    <t>Updated 7/26/18</t>
  </si>
  <si>
    <t xml:space="preserve"> per square foot increase over previous year.</t>
  </si>
  <si>
    <t>3. Allocate</t>
  </si>
  <si>
    <t>budget in holding account in F 1</t>
  </si>
  <si>
    <t>let Jim know to budget in F3 for FY year 18/19</t>
  </si>
  <si>
    <t>in Fund 3/Promise</t>
  </si>
  <si>
    <t>let Colleges/Jim know</t>
  </si>
  <si>
    <t>AFT Unit Release 2018-19</t>
  </si>
  <si>
    <t>Faculty Member</t>
  </si>
  <si>
    <t>Campus</t>
  </si>
  <si>
    <t>STATUS</t>
  </si>
  <si>
    <t>UNITS FALL 2018</t>
  </si>
  <si>
    <t>UNITS SPRING 2019</t>
  </si>
  <si>
    <t>Eslamieh, Salumeh</t>
  </si>
  <si>
    <t>ft</t>
  </si>
  <si>
    <t>Fbian, Rika</t>
  </si>
  <si>
    <t>Harer, Katharine</t>
  </si>
  <si>
    <t>pt</t>
  </si>
  <si>
    <t>James, Katherine T.</t>
  </si>
  <si>
    <t>Lehigh, Steven</t>
  </si>
  <si>
    <t>Maher, Doniella</t>
  </si>
  <si>
    <t>Rivera, Joaquin</t>
  </si>
  <si>
    <t>Rowden-Quince, Bianca</t>
  </si>
  <si>
    <t>Rueckhaus, Paul</t>
  </si>
  <si>
    <t>Silver-Sharp, Jessica</t>
  </si>
  <si>
    <t>SKY/CAN</t>
  </si>
  <si>
    <t>AFT (see AFT release tab)</t>
  </si>
  <si>
    <t>Actual expenses for Adjunct are backfilled at year end (May) by trnasferring funds from CS holding account to each site</t>
  </si>
  <si>
    <t>what will be reported in space inventory in October</t>
  </si>
  <si>
    <t>ask Arlene</t>
  </si>
  <si>
    <t>Octobe is a measurment date</t>
  </si>
  <si>
    <t>have colleges budget entire transfer in to F3 from F1 for all their positions, including COLA. We will do BT/reimbure from F1 to their F1 for COLA only</t>
  </si>
  <si>
    <t>from Rachelle's Site Salary Adjustment Spreadsheet</t>
  </si>
  <si>
    <t>Dear CBOs</t>
  </si>
  <si>
    <t>A while back we had a discussion and a request that the District fund COLA for those positions that were moved from Fund 1 to Fund 3. We did agree to this and here is proposed process:</t>
  </si>
  <si>
    <t>1)       Identify and move Promise Program salaries and benefits from Fund 1 to Fund 3---I assume this was done as requested a while back</t>
  </si>
  <si>
    <t>2)       Please budget Interfund transfer from your college Fund 1 to Promise Program Fund 3 to fund these positions, including COLA transfer out from Fund 1 to Fund 3</t>
  </si>
  <si>
    <t>3)       We will backfill COLA by transferring by processing/reimbursing you with budget transfer from CS Fund 1 to college Fund 1.</t>
  </si>
  <si>
    <t>Hope this makes sense.  Please let me know if you have any questions.</t>
  </si>
  <si>
    <t>Bernata</t>
  </si>
  <si>
    <t>Promise Program</t>
  </si>
  <si>
    <t>BT to colleges to fund promise Program COLA etc.</t>
  </si>
  <si>
    <t>Sky 1 will not be vacated until next year</t>
  </si>
  <si>
    <t>FTES</t>
  </si>
  <si>
    <t>Rate (Prop 20) (New Money)</t>
  </si>
  <si>
    <t>Remaining Balances (June30, 2018)</t>
  </si>
  <si>
    <t>(estim)</t>
  </si>
  <si>
    <t>Undistributed from 2017-18</t>
  </si>
  <si>
    <t xml:space="preserve">FT fac hiring from advanced exh C </t>
  </si>
  <si>
    <t>PT faculty comp</t>
  </si>
  <si>
    <t xml:space="preserve">State P/T  and FT Faculty </t>
  </si>
  <si>
    <t>16/ Non-res rate</t>
  </si>
  <si>
    <t>based on PY actual and new rate</t>
  </si>
  <si>
    <t>fixed</t>
  </si>
  <si>
    <t>negotiated based on tenured faculty salaries</t>
  </si>
  <si>
    <t>17/18 Personnel/Non-personnel expenditures for calculation of CPI allocation for 18/19</t>
  </si>
  <si>
    <t>will be available OT in 18/19.</t>
  </si>
  <si>
    <t>Step &amp; Column/Compensation</t>
  </si>
  <si>
    <t>Basic Aid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</si>
</sst>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0.0%"/>
    <numFmt numFmtId="168" formatCode="_(* #,##0.0000_);_(* \(#,##0.0000\);_(* &quot;-&quot;??_);_(@_)"/>
    <numFmt numFmtId="169" formatCode="0.000%"/>
    <numFmt numFmtId="170" formatCode="[$-409]mmmm\ d\,\ yyyy;@"/>
    <numFmt numFmtId="171" formatCode="_(* #,##0.0000000000_);_(* \(#,##0.0000000000\);_(* &quot;-&quot;??_);_(@_)"/>
    <numFmt numFmtId="172" formatCode="_(* #,##0.0_);_(* \(#,##0.0\);_(* &quot;-&quot;??_);_(@_)"/>
  </numFmts>
  <fonts count="119">
    <font>
      <sz val="10"/>
      <name val="Arial"/>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10"/>
      <color indexed="12"/>
      <name val="Arial"/>
      <family val="2"/>
    </font>
    <font>
      <sz val="10"/>
      <color indexed="10"/>
      <name val="Arial"/>
      <family val="2"/>
    </font>
    <font>
      <sz val="10"/>
      <color indexed="12"/>
      <name val="Arial"/>
      <family val="2"/>
    </font>
    <font>
      <b/>
      <sz val="8"/>
      <color indexed="81"/>
      <name val="Tahoma"/>
      <family val="2"/>
    </font>
    <font>
      <sz val="8"/>
      <color indexed="81"/>
      <name val="Tahoma"/>
      <family val="2"/>
    </font>
    <font>
      <i/>
      <sz val="10"/>
      <name val="Arial"/>
      <family val="2"/>
    </font>
    <font>
      <sz val="8"/>
      <name val="Arial"/>
      <family val="2"/>
    </font>
    <font>
      <b/>
      <sz val="10"/>
      <color indexed="81"/>
      <name val="Tahoma"/>
      <family val="2"/>
    </font>
    <font>
      <sz val="10"/>
      <color indexed="81"/>
      <name val="Tahoma"/>
      <family val="2"/>
    </font>
    <font>
      <sz val="10"/>
      <name val="Geneva"/>
    </font>
    <font>
      <sz val="8"/>
      <name val="Geneva"/>
    </font>
    <font>
      <b/>
      <i/>
      <sz val="10"/>
      <color indexed="10"/>
      <name val="Arial"/>
      <family val="2"/>
    </font>
    <font>
      <b/>
      <i/>
      <sz val="10"/>
      <name val="Arial"/>
      <family val="2"/>
    </font>
    <font>
      <b/>
      <sz val="10"/>
      <name val="Arial"/>
      <family val="2"/>
    </font>
    <font>
      <sz val="10"/>
      <name val="Arial"/>
      <family val="2"/>
    </font>
    <font>
      <b/>
      <sz val="12"/>
      <color indexed="12"/>
      <name val="Arial"/>
      <family val="2"/>
    </font>
    <font>
      <sz val="12"/>
      <name val="Arial"/>
      <family val="2"/>
    </font>
    <font>
      <sz val="10"/>
      <color indexed="18"/>
      <name val="Arial"/>
      <family val="2"/>
    </font>
    <font>
      <sz val="10"/>
      <color indexed="10"/>
      <name val="Arial"/>
      <family val="2"/>
    </font>
    <font>
      <b/>
      <sz val="11"/>
      <name val="Arial"/>
      <family val="2"/>
    </font>
    <font>
      <sz val="10"/>
      <color indexed="10"/>
      <name val="Arial"/>
      <family val="2"/>
    </font>
    <font>
      <sz val="10"/>
      <color rgb="FF003466"/>
      <name val="Arial"/>
      <family val="2"/>
    </font>
    <font>
      <sz val="11"/>
      <color rgb="FF1F497D"/>
      <name val="Calibri"/>
      <family val="2"/>
    </font>
    <font>
      <sz val="10"/>
      <color indexed="10"/>
      <name val="Geneva"/>
    </font>
    <font>
      <b/>
      <sz val="11"/>
      <color theme="1"/>
      <name val="Calibri"/>
      <family val="2"/>
      <scheme val="minor"/>
    </font>
    <font>
      <b/>
      <sz val="14"/>
      <color theme="1"/>
      <name val="Calibri"/>
      <family val="2"/>
      <scheme val="minor"/>
    </font>
    <font>
      <b/>
      <sz val="10"/>
      <name val="Geneva"/>
    </font>
    <font>
      <u/>
      <sz val="10"/>
      <color rgb="FF0070C0"/>
      <name val="Geneva"/>
    </font>
    <font>
      <sz val="11"/>
      <name val="Calibri"/>
      <family val="2"/>
      <scheme val="minor"/>
    </font>
    <font>
      <sz val="9"/>
      <color indexed="8"/>
      <name val="Tahoma"/>
      <family val="2"/>
    </font>
    <font>
      <sz val="11"/>
      <name val="Calibri"/>
      <family val="2"/>
    </font>
    <font>
      <vertAlign val="superscript"/>
      <sz val="11"/>
      <name val="Calibri"/>
      <family val="2"/>
    </font>
    <font>
      <b/>
      <sz val="11"/>
      <color indexed="8"/>
      <name val="Calibri"/>
      <family val="2"/>
    </font>
    <font>
      <sz val="11"/>
      <color indexed="8"/>
      <name val="Calibri"/>
      <family val="2"/>
    </font>
    <font>
      <b/>
      <u/>
      <sz val="11"/>
      <color indexed="8"/>
      <name val="Arial"/>
      <family val="2"/>
    </font>
    <font>
      <sz val="11"/>
      <color indexed="8"/>
      <name val="Arial"/>
      <family val="2"/>
    </font>
    <font>
      <b/>
      <sz val="10"/>
      <color indexed="10"/>
      <name val="Arial"/>
      <family val="2"/>
    </font>
    <font>
      <b/>
      <sz val="10"/>
      <color theme="0" tint="-0.499984740745262"/>
      <name val="Arial"/>
      <family val="2"/>
    </font>
    <font>
      <sz val="10"/>
      <color theme="0" tint="-0.499984740745262"/>
      <name val="Arial"/>
      <family val="2"/>
    </font>
    <font>
      <sz val="10.5"/>
      <name val="Consolas"/>
      <family val="3"/>
    </font>
    <font>
      <sz val="10"/>
      <color indexed="9"/>
      <name val="Geneva"/>
    </font>
    <font>
      <u/>
      <sz val="8"/>
      <color indexed="81"/>
      <name val="Tahoma"/>
      <family val="2"/>
    </font>
    <font>
      <sz val="10.5"/>
      <color indexed="8"/>
      <name val="Consolas"/>
      <family val="3"/>
    </font>
    <font>
      <sz val="10"/>
      <color indexed="9"/>
      <name val="Arial"/>
      <family val="2"/>
    </font>
    <font>
      <sz val="9"/>
      <color indexed="81"/>
      <name val="Tahoma"/>
      <family val="2"/>
    </font>
    <font>
      <b/>
      <sz val="9"/>
      <color indexed="81"/>
      <name val="Tahoma"/>
      <family val="2"/>
    </font>
    <font>
      <sz val="8"/>
      <name val="Verdana"/>
      <family val="2"/>
    </font>
    <font>
      <sz val="10"/>
      <name val="Arial"/>
      <family val="2"/>
    </font>
    <font>
      <sz val="10"/>
      <color rgb="FFFF0000"/>
      <name val="Arial"/>
      <family val="2"/>
    </font>
    <font>
      <b/>
      <sz val="8"/>
      <name val="Arial"/>
      <family val="2"/>
    </font>
    <font>
      <u/>
      <sz val="8"/>
      <name val="Arial"/>
      <family val="2"/>
    </font>
    <font>
      <sz val="11"/>
      <color rgb="FF000000"/>
      <name val="Calibri"/>
      <family val="2"/>
    </font>
    <font>
      <b/>
      <sz val="11"/>
      <color rgb="FF000000"/>
      <name val="Calibri"/>
      <family val="2"/>
    </font>
    <font>
      <b/>
      <sz val="8"/>
      <color theme="1"/>
      <name val="Arial"/>
      <family val="2"/>
    </font>
    <font>
      <sz val="8"/>
      <color theme="1"/>
      <name val="Arial"/>
      <family val="2"/>
    </font>
    <font>
      <u/>
      <sz val="8"/>
      <color theme="1"/>
      <name val="Arial"/>
      <family val="2"/>
    </font>
    <font>
      <sz val="8"/>
      <color rgb="FF000000"/>
      <name val="Arial"/>
      <family val="2"/>
    </font>
    <font>
      <u/>
      <sz val="8"/>
      <color rgb="FF000000"/>
      <name val="Arial"/>
      <family val="2"/>
    </font>
    <font>
      <sz val="11"/>
      <color rgb="FF1F497D"/>
      <name val="Calibri"/>
      <family val="2"/>
      <scheme val="minor"/>
    </font>
    <font>
      <b/>
      <u/>
      <sz val="8"/>
      <color rgb="FF000000"/>
      <name val="Arial"/>
      <family val="2"/>
    </font>
    <font>
      <sz val="12"/>
      <color rgb="FF002060"/>
      <name val="Lucida Calligraphy"/>
      <family val="4"/>
    </font>
    <font>
      <sz val="10"/>
      <color rgb="FFFF0000"/>
      <name val="Geneva"/>
    </font>
    <font>
      <sz val="10"/>
      <name val="Times New Roman"/>
      <family val="1"/>
    </font>
    <font>
      <sz val="10"/>
      <color rgb="FF000000"/>
      <name val="Arial"/>
      <family val="2"/>
    </font>
    <font>
      <sz val="8"/>
      <color rgb="FFFF0000"/>
      <name val="Arial"/>
      <family val="2"/>
    </font>
    <font>
      <sz val="10"/>
      <color indexed="8"/>
      <name val="Arial"/>
      <family val="2"/>
    </font>
    <font>
      <b/>
      <sz val="10"/>
      <color rgb="FFFF0000"/>
      <name val="Arial"/>
      <family val="2"/>
    </font>
    <font>
      <b/>
      <sz val="10"/>
      <color theme="1"/>
      <name val="Arial"/>
      <family val="2"/>
    </font>
    <font>
      <b/>
      <i/>
      <sz val="10"/>
      <color theme="1"/>
      <name val="Arial"/>
      <family val="2"/>
    </font>
    <font>
      <sz val="10"/>
      <color theme="1"/>
      <name val="Arial"/>
      <family val="2"/>
    </font>
    <font>
      <sz val="8"/>
      <color indexed="8"/>
      <name val="Arial"/>
      <family val="2"/>
    </font>
    <font>
      <u/>
      <sz val="8"/>
      <color indexed="8"/>
      <name val="Arial"/>
      <family val="2"/>
    </font>
    <font>
      <b/>
      <sz val="8"/>
      <color rgb="FF000000"/>
      <name val="Arial"/>
      <family val="2"/>
    </font>
    <font>
      <sz val="10"/>
      <color rgb="FF000000"/>
      <name val="Times New Roman"/>
      <family val="1"/>
    </font>
    <font>
      <sz val="12"/>
      <color rgb="FF000000"/>
      <name val="Calibri"/>
      <family val="2"/>
    </font>
    <font>
      <b/>
      <u/>
      <sz val="11"/>
      <color rgb="FF000000"/>
      <name val="Calibri"/>
      <family val="2"/>
    </font>
    <font>
      <sz val="11"/>
      <color rgb="FF1F497D"/>
      <name val="Symbol"/>
      <family val="1"/>
      <charset val="2"/>
    </font>
    <font>
      <sz val="7"/>
      <color rgb="FF1F497D"/>
      <name val="Times New Roman"/>
      <family val="1"/>
    </font>
    <font>
      <sz val="11"/>
      <color rgb="FF1F4E79"/>
      <name val="Calibri"/>
      <family val="2"/>
    </font>
    <font>
      <sz val="10"/>
      <color rgb="FF008080"/>
      <name val="Arial"/>
      <family val="2"/>
    </font>
    <font>
      <sz val="10"/>
      <color rgb="FF974706"/>
      <name val="Arial"/>
      <family val="2"/>
    </font>
    <font>
      <b/>
      <sz val="11"/>
      <color rgb="FF1F497D"/>
      <name val="Calibri"/>
      <family val="2"/>
    </font>
    <font>
      <b/>
      <i/>
      <sz val="8"/>
      <name val="Arial"/>
      <family val="2"/>
    </font>
    <font>
      <b/>
      <u/>
      <sz val="10"/>
      <color rgb="FF000000"/>
      <name val="Arial"/>
      <family val="2"/>
    </font>
    <font>
      <b/>
      <sz val="10"/>
      <color rgb="FF000000"/>
      <name val="Arial"/>
      <family val="2"/>
    </font>
    <font>
      <b/>
      <sz val="16"/>
      <color theme="1"/>
      <name val="Calibri"/>
      <family val="2"/>
      <scheme val="minor"/>
    </font>
    <font>
      <sz val="12"/>
      <color rgb="FFFF0000"/>
      <name val="Calibri"/>
      <family val="2"/>
      <scheme val="minor"/>
    </font>
    <font>
      <b/>
      <sz val="10"/>
      <color indexed="81"/>
      <name val="Calibri"/>
      <family val="2"/>
    </font>
    <font>
      <sz val="10"/>
      <color theme="0"/>
      <name val="Geneva"/>
    </font>
    <font>
      <sz val="10"/>
      <color theme="1"/>
      <name val="Geneva"/>
    </font>
    <font>
      <sz val="10"/>
      <color indexed="81"/>
      <name val="Calibri"/>
      <family val="2"/>
    </font>
    <font>
      <b/>
      <sz val="12"/>
      <color theme="1"/>
      <name val="Calibri"/>
      <family val="2"/>
      <scheme val="minor"/>
    </font>
    <font>
      <b/>
      <sz val="12"/>
      <color rgb="FFFF0000"/>
      <name val="Calibri"/>
      <family val="2"/>
      <scheme val="minor"/>
    </font>
    <font>
      <b/>
      <sz val="8"/>
      <color rgb="FFFF0000"/>
      <name val="Arial"/>
      <family val="2"/>
    </font>
    <font>
      <u/>
      <sz val="10"/>
      <color theme="10"/>
      <name val="Arial"/>
      <family val="2"/>
    </font>
    <font>
      <u/>
      <sz val="10"/>
      <color theme="11"/>
      <name val="Arial"/>
      <family val="2"/>
    </font>
    <font>
      <b/>
      <sz val="36"/>
      <color theme="1"/>
      <name val="Calibri"/>
      <family val="2"/>
      <scheme val="minor"/>
    </font>
    <font>
      <sz val="10"/>
      <color theme="3" tint="-0.249977111117893"/>
      <name val="Arial"/>
      <family val="2"/>
    </font>
    <font>
      <i/>
      <sz val="10"/>
      <color theme="1"/>
      <name val="Arial"/>
      <family val="2"/>
    </font>
    <font>
      <sz val="8"/>
      <color theme="1"/>
      <name val="Calibri"/>
      <family val="2"/>
      <scheme val="minor"/>
    </font>
    <font>
      <b/>
      <sz val="11"/>
      <color indexed="8"/>
      <name val="Arial"/>
      <family val="2"/>
    </font>
    <font>
      <b/>
      <sz val="16"/>
      <name val="Arial"/>
      <family val="2"/>
    </font>
    <font>
      <sz val="10"/>
      <color indexed="21"/>
      <name val="Arial"/>
      <family val="2"/>
    </font>
    <font>
      <sz val="10"/>
      <color theme="9" tint="-0.499984740745262"/>
      <name val="Arial"/>
      <family val="2"/>
    </font>
  </fonts>
  <fills count="33">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00"/>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DDD9C4"/>
        <bgColor indexed="64"/>
      </patternFill>
    </fill>
    <fill>
      <patternFill patternType="solid">
        <fgColor theme="2" tint="-0.249977111117893"/>
        <bgColor indexed="64"/>
      </patternFill>
    </fill>
    <fill>
      <patternFill patternType="solid">
        <fgColor rgb="FFFCD5B4"/>
        <bgColor rgb="FF000000"/>
      </patternFill>
    </fill>
    <fill>
      <patternFill patternType="solid">
        <fgColor rgb="FFFFC000"/>
        <bgColor indexed="64"/>
      </patternFill>
    </fill>
    <fill>
      <patternFill patternType="solid">
        <fgColor rgb="FF92D05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3"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6" tint="0.79998168889431442"/>
        <bgColor indexed="64"/>
      </patternFill>
    </fill>
  </fills>
  <borders count="122">
    <border>
      <left/>
      <right/>
      <top/>
      <bottom/>
      <diagonal/>
    </border>
    <border>
      <left style="thin">
        <color auto="1"/>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bottom style="double">
        <color auto="1"/>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style="medium">
        <color auto="1"/>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medium">
        <color auto="1"/>
      </bottom>
      <diagonal/>
    </border>
    <border>
      <left/>
      <right style="medium">
        <color auto="1"/>
      </right>
      <top/>
      <bottom style="thin">
        <color auto="1"/>
      </bottom>
      <diagonal/>
    </border>
    <border>
      <left style="thin">
        <color auto="1"/>
      </left>
      <right style="thin">
        <color auto="1"/>
      </right>
      <top/>
      <bottom/>
      <diagonal/>
    </border>
    <border>
      <left/>
      <right style="medium">
        <color auto="1"/>
      </right>
      <top style="thin">
        <color auto="1"/>
      </top>
      <bottom/>
      <diagonal/>
    </border>
    <border>
      <left/>
      <right style="thick">
        <color auto="1"/>
      </right>
      <top/>
      <bottom style="thin">
        <color auto="1"/>
      </bottom>
      <diagonal/>
    </border>
    <border>
      <left/>
      <right style="thick">
        <color auto="1"/>
      </right>
      <top/>
      <bottom/>
      <diagonal/>
    </border>
    <border>
      <left/>
      <right style="thick">
        <color auto="1"/>
      </right>
      <top style="thin">
        <color auto="1"/>
      </top>
      <bottom/>
      <diagonal/>
    </border>
    <border>
      <left style="medium">
        <color auto="1"/>
      </left>
      <right/>
      <top/>
      <bottom style="double">
        <color auto="1"/>
      </bottom>
      <diagonal/>
    </border>
    <border>
      <left style="thin">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style="medium">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style="thin">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bottom style="medium">
        <color auto="1"/>
      </bottom>
      <diagonal/>
    </border>
    <border>
      <left/>
      <right style="medium">
        <color auto="1"/>
      </right>
      <top/>
      <bottom style="double">
        <color auto="1"/>
      </bottom>
      <diagonal/>
    </border>
    <border>
      <left style="thin">
        <color rgb="FFFF0000"/>
      </left>
      <right style="thin">
        <color rgb="FFFF0000"/>
      </right>
      <top/>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top/>
      <bottom style="double">
        <color auto="1"/>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thick">
        <color theme="1"/>
      </left>
      <right/>
      <top style="thick">
        <color theme="1"/>
      </top>
      <bottom/>
      <diagonal/>
    </border>
    <border>
      <left style="thick">
        <color theme="1"/>
      </left>
      <right/>
      <top style="medium">
        <color auto="1"/>
      </top>
      <bottom style="medium">
        <color auto="1"/>
      </bottom>
      <diagonal/>
    </border>
    <border>
      <left style="thick">
        <color theme="1"/>
      </left>
      <right/>
      <top/>
      <bottom/>
      <diagonal/>
    </border>
    <border>
      <left style="thick">
        <color theme="1"/>
      </left>
      <right/>
      <top/>
      <bottom style="double">
        <color auto="1"/>
      </bottom>
      <diagonal/>
    </border>
    <border>
      <left style="thick">
        <color theme="1"/>
      </left>
      <right/>
      <top style="thin">
        <color auto="1"/>
      </top>
      <bottom/>
      <diagonal/>
    </border>
    <border>
      <left style="thick">
        <color theme="1"/>
      </left>
      <right/>
      <top/>
      <bottom style="thick">
        <color theme="1"/>
      </bottom>
      <diagonal/>
    </border>
    <border>
      <left style="thin">
        <color auto="1"/>
      </left>
      <right style="thin">
        <color auto="1"/>
      </right>
      <top style="thin">
        <color auto="1"/>
      </top>
      <bottom/>
      <diagonal/>
    </border>
    <border>
      <left style="medium">
        <color rgb="FFFF0000"/>
      </left>
      <right style="medium">
        <color rgb="FFFF0000"/>
      </right>
      <top style="medium">
        <color auto="1"/>
      </top>
      <bottom style="medium">
        <color auto="1"/>
      </bottom>
      <diagonal/>
    </border>
    <border>
      <left style="medium">
        <color rgb="FFFF0000"/>
      </left>
      <right style="medium">
        <color rgb="FFFF0000"/>
      </right>
      <top/>
      <bottom/>
      <diagonal/>
    </border>
    <border>
      <left style="medium">
        <color rgb="FFFF0000"/>
      </left>
      <right style="medium">
        <color rgb="FFFF0000"/>
      </right>
      <top/>
      <bottom style="thin">
        <color auto="1"/>
      </bottom>
      <diagonal/>
    </border>
    <border>
      <left style="medium">
        <color rgb="FFFF0000"/>
      </left>
      <right style="medium">
        <color rgb="FFFF0000"/>
      </right>
      <top/>
      <bottom style="double">
        <color auto="1"/>
      </bottom>
      <diagonal/>
    </border>
    <border>
      <left style="medium">
        <color rgb="FFFF0000"/>
      </left>
      <right style="medium">
        <color rgb="FFFF0000"/>
      </right>
      <top style="thin">
        <color auto="1"/>
      </top>
      <bottom/>
      <diagonal/>
    </border>
    <border>
      <left style="medium">
        <color rgb="FFFF0000"/>
      </left>
      <right style="medium">
        <color rgb="FFFF0000"/>
      </right>
      <top/>
      <bottom style="medium">
        <color rgb="FFFF0000"/>
      </bottom>
      <diagonal/>
    </border>
    <border>
      <left style="thick">
        <color auto="1"/>
      </left>
      <right/>
      <top/>
      <bottom/>
      <diagonal/>
    </border>
    <border>
      <left style="thick">
        <color theme="1"/>
      </left>
      <right/>
      <top/>
      <bottom style="thin">
        <color auto="1"/>
      </bottom>
      <diagonal/>
    </border>
    <border>
      <left style="thick">
        <color auto="1"/>
      </left>
      <right/>
      <top style="thick">
        <color auto="1"/>
      </top>
      <bottom/>
      <diagonal/>
    </border>
    <border>
      <left style="thick">
        <color auto="1"/>
      </left>
      <right/>
      <top style="medium">
        <color auto="1"/>
      </top>
      <bottom style="medium">
        <color auto="1"/>
      </bottom>
      <diagonal/>
    </border>
    <border>
      <left style="thick">
        <color auto="1"/>
      </left>
      <right/>
      <top/>
      <bottom style="thin">
        <color auto="1"/>
      </bottom>
      <diagonal/>
    </border>
    <border>
      <left style="thick">
        <color auto="1"/>
      </left>
      <right/>
      <top/>
      <bottom style="double">
        <color auto="1"/>
      </bottom>
      <diagonal/>
    </border>
    <border>
      <left style="thick">
        <color auto="1"/>
      </left>
      <right/>
      <top style="thin">
        <color auto="1"/>
      </top>
      <bottom/>
      <diagonal/>
    </border>
    <border>
      <left style="thick">
        <color auto="1"/>
      </left>
      <right/>
      <top/>
      <bottom style="thick">
        <color auto="1"/>
      </bottom>
      <diagonal/>
    </border>
    <border>
      <left style="medium">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medium">
        <color rgb="FFFF0000"/>
      </left>
      <right style="medium">
        <color rgb="FFFF0000"/>
      </right>
      <top style="medium">
        <color rgb="FFFF0000"/>
      </top>
      <bottom/>
      <diagonal/>
    </border>
    <border>
      <left style="thick">
        <color theme="1"/>
      </left>
      <right style="thick">
        <color theme="1"/>
      </right>
      <top style="thick">
        <color theme="1"/>
      </top>
      <bottom/>
      <diagonal/>
    </border>
    <border>
      <left style="thick">
        <color theme="1"/>
      </left>
      <right style="thick">
        <color theme="1"/>
      </right>
      <top style="medium">
        <color auto="1"/>
      </top>
      <bottom style="medium">
        <color auto="1"/>
      </bottom>
      <diagonal/>
    </border>
    <border>
      <left style="thick">
        <color theme="1"/>
      </left>
      <right style="thick">
        <color theme="1"/>
      </right>
      <top/>
      <bottom/>
      <diagonal/>
    </border>
    <border>
      <left style="thick">
        <color theme="1"/>
      </left>
      <right style="thick">
        <color theme="1"/>
      </right>
      <top/>
      <bottom style="double">
        <color auto="1"/>
      </bottom>
      <diagonal/>
    </border>
    <border>
      <left style="thick">
        <color theme="1"/>
      </left>
      <right style="thick">
        <color theme="1"/>
      </right>
      <top style="thin">
        <color auto="1"/>
      </top>
      <bottom/>
      <diagonal/>
    </border>
    <border>
      <left style="thick">
        <color theme="1"/>
      </left>
      <right style="thick">
        <color theme="1"/>
      </right>
      <top/>
      <bottom style="thick">
        <color theme="1"/>
      </bottom>
      <diagonal/>
    </border>
    <border>
      <left/>
      <right/>
      <top style="medium">
        <color auto="1"/>
      </top>
      <bottom style="thin">
        <color theme="1"/>
      </bottom>
      <diagonal/>
    </border>
    <border>
      <left/>
      <right style="medium">
        <color rgb="FFFF0000"/>
      </right>
      <top/>
      <bottom/>
      <diagonal/>
    </border>
    <border>
      <left style="medium">
        <color theme="1"/>
      </left>
      <right/>
      <top style="medium">
        <color theme="1"/>
      </top>
      <bottom style="medium">
        <color auto="1"/>
      </bottom>
      <diagonal/>
    </border>
    <border>
      <left style="medium">
        <color theme="1"/>
      </left>
      <right/>
      <top/>
      <bottom/>
      <diagonal/>
    </border>
    <border>
      <left style="medium">
        <color theme="1"/>
      </left>
      <right/>
      <top/>
      <bottom style="thin">
        <color auto="1"/>
      </bottom>
      <diagonal/>
    </border>
    <border>
      <left style="medium">
        <color theme="1"/>
      </left>
      <right/>
      <top/>
      <bottom style="double">
        <color auto="1"/>
      </bottom>
      <diagonal/>
    </border>
    <border>
      <left style="medium">
        <color theme="1"/>
      </left>
      <right/>
      <top style="thin">
        <color auto="1"/>
      </top>
      <bottom/>
      <diagonal/>
    </border>
    <border>
      <left style="medium">
        <color theme="1"/>
      </left>
      <right/>
      <top/>
      <bottom style="medium">
        <color theme="1"/>
      </bottom>
      <diagonal/>
    </border>
    <border>
      <left/>
      <right style="medium">
        <color rgb="FFFF0000"/>
      </right>
      <top/>
      <bottom style="thin">
        <color auto="1"/>
      </bottom>
      <diagonal/>
    </border>
    <border>
      <left/>
      <right style="medium">
        <color rgb="FFFF0000"/>
      </right>
      <top/>
      <bottom style="medium">
        <color auto="1"/>
      </bottom>
      <diagonal/>
    </border>
    <border>
      <left style="medium">
        <color rgb="FFFF0000"/>
      </left>
      <right/>
      <top style="thin">
        <color auto="1"/>
      </top>
      <bottom style="thin">
        <color auto="1"/>
      </bottom>
      <diagonal/>
    </border>
    <border>
      <left style="thick">
        <color rgb="FFFF0000"/>
      </left>
      <right style="thick">
        <color rgb="FFFF0000"/>
      </right>
      <top/>
      <bottom/>
      <diagonal/>
    </border>
    <border>
      <left style="thick">
        <color rgb="FFFF0000"/>
      </left>
      <right style="thick">
        <color rgb="FFFF0000"/>
      </right>
      <top/>
      <bottom style="thin">
        <color auto="1"/>
      </bottom>
      <diagonal/>
    </border>
    <border>
      <left style="thick">
        <color rgb="FFFF0000"/>
      </left>
      <right style="thick">
        <color rgb="FFFF0000"/>
      </right>
      <top/>
      <bottom style="double">
        <color auto="1"/>
      </bottom>
      <diagonal/>
    </border>
    <border>
      <left style="thin">
        <color auto="1"/>
      </left>
      <right style="medium">
        <color auto="1"/>
      </right>
      <top style="medium">
        <color auto="1"/>
      </top>
      <bottom/>
      <diagonal/>
    </border>
    <border>
      <left/>
      <right style="thin">
        <color auto="1"/>
      </right>
      <top style="medium">
        <color auto="1"/>
      </top>
      <bottom/>
      <diagonal/>
    </border>
  </borders>
  <cellStyleXfs count="38">
    <xf numFmtId="0" fontId="0" fillId="0" borderId="0"/>
    <xf numFmtId="43" fontId="11" fillId="0" borderId="0" applyFont="0" applyFill="0" applyBorder="0" applyAlignment="0" applyProtection="0"/>
    <xf numFmtId="44" fontId="11" fillId="0" borderId="0" applyFont="0" applyFill="0" applyBorder="0" applyAlignment="0" applyProtection="0"/>
    <xf numFmtId="0" fontId="24" fillId="0" borderId="0"/>
    <xf numFmtId="9" fontId="11" fillId="0" borderId="0" applyFont="0" applyFill="0" applyBorder="0" applyAlignment="0" applyProtection="0"/>
    <xf numFmtId="0" fontId="10" fillId="0" borderId="0"/>
    <xf numFmtId="44" fontId="10" fillId="0" borderId="0" applyFont="0" applyFill="0" applyBorder="0" applyAlignment="0" applyProtection="0"/>
    <xf numFmtId="43" fontId="10" fillId="0" borderId="0" applyFont="0" applyFill="0" applyBorder="0" applyAlignment="0" applyProtection="0"/>
    <xf numFmtId="9" fontId="10" fillId="0" borderId="0" applyFont="0" applyFill="0" applyBorder="0" applyAlignment="0" applyProtection="0"/>
    <xf numFmtId="0" fontId="11" fillId="0" borderId="0"/>
    <xf numFmtId="0" fontId="11" fillId="0" borderId="0"/>
    <xf numFmtId="43" fontId="7" fillId="0" borderId="0" applyFont="0" applyFill="0" applyBorder="0" applyAlignment="0" applyProtection="0"/>
    <xf numFmtId="44" fontId="7" fillId="0" borderId="0" applyFont="0" applyFill="0" applyBorder="0" applyAlignment="0" applyProtection="0"/>
    <xf numFmtId="9"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1"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09" fillId="0" borderId="0" applyNumberFormat="0" applyFill="0" applyBorder="0" applyAlignment="0" applyProtection="0"/>
    <xf numFmtId="0" fontId="110" fillId="0" borderId="0" applyNumberFormat="0" applyFill="0" applyBorder="0" applyAlignment="0" applyProtection="0"/>
  </cellStyleXfs>
  <cellXfs count="2094">
    <xf numFmtId="0" fontId="0" fillId="0" borderId="0" xfId="0"/>
    <xf numFmtId="0" fontId="13" fillId="0" borderId="0" xfId="0" applyFont="1"/>
    <xf numFmtId="0" fontId="14" fillId="0" borderId="0" xfId="0" applyFont="1"/>
    <xf numFmtId="0" fontId="13" fillId="0" borderId="0" xfId="0" applyFont="1" applyAlignment="1">
      <alignment horizontal="right"/>
    </xf>
    <xf numFmtId="0" fontId="14" fillId="0" borderId="0" xfId="0" applyFont="1" applyAlignment="1">
      <alignment horizontal="center"/>
    </xf>
    <xf numFmtId="14" fontId="13" fillId="0" borderId="0" xfId="0" applyNumberFormat="1" applyFont="1" applyAlignment="1">
      <alignment horizontal="left"/>
    </xf>
    <xf numFmtId="0" fontId="14" fillId="0" borderId="0" xfId="0" applyFont="1" applyAlignment="1">
      <alignment horizontal="left" indent="1"/>
    </xf>
    <xf numFmtId="0" fontId="15" fillId="0" borderId="0" xfId="0" applyFont="1"/>
    <xf numFmtId="0" fontId="14" fillId="0" borderId="1" xfId="0" applyFont="1" applyBorder="1"/>
    <xf numFmtId="0" fontId="14" fillId="0" borderId="2" xfId="0" applyFont="1" applyBorder="1" applyAlignment="1">
      <alignment horizontal="center"/>
    </xf>
    <xf numFmtId="0" fontId="14" fillId="0" borderId="2" xfId="0" applyFont="1" applyFill="1" applyBorder="1" applyAlignment="1">
      <alignment horizontal="center"/>
    </xf>
    <xf numFmtId="0" fontId="14" fillId="0" borderId="3" xfId="0" applyFont="1" applyBorder="1" applyAlignment="1">
      <alignment horizontal="center"/>
    </xf>
    <xf numFmtId="0" fontId="14" fillId="0" borderId="4" xfId="0" applyFont="1" applyBorder="1"/>
    <xf numFmtId="164" fontId="14" fillId="0" borderId="0" xfId="2" applyNumberFormat="1" applyFont="1" applyBorder="1"/>
    <xf numFmtId="164" fontId="14" fillId="0" borderId="5" xfId="2" applyNumberFormat="1" applyFont="1" applyBorder="1"/>
    <xf numFmtId="165" fontId="14" fillId="0" borderId="6" xfId="1" applyNumberFormat="1" applyFont="1" applyBorder="1"/>
    <xf numFmtId="0" fontId="14" fillId="0" borderId="6" xfId="0" applyFont="1" applyBorder="1"/>
    <xf numFmtId="165" fontId="14" fillId="0" borderId="7" xfId="1" applyNumberFormat="1" applyFont="1" applyBorder="1"/>
    <xf numFmtId="0" fontId="14" fillId="0" borderId="8" xfId="0" applyFont="1" applyBorder="1"/>
    <xf numFmtId="165" fontId="14" fillId="0" borderId="0" xfId="1" applyNumberFormat="1" applyFont="1" applyBorder="1"/>
    <xf numFmtId="0" fontId="14" fillId="0" borderId="0" xfId="0" applyFont="1" applyBorder="1"/>
    <xf numFmtId="165" fontId="14" fillId="0" borderId="5" xfId="1" applyNumberFormat="1" applyFont="1" applyBorder="1"/>
    <xf numFmtId="165" fontId="14" fillId="0" borderId="9" xfId="1" applyNumberFormat="1" applyFont="1" applyBorder="1"/>
    <xf numFmtId="0" fontId="14" fillId="0" borderId="9" xfId="0" applyFont="1" applyBorder="1"/>
    <xf numFmtId="165" fontId="14" fillId="0" borderId="10" xfId="1" applyNumberFormat="1" applyFont="1" applyBorder="1"/>
    <xf numFmtId="0" fontId="14" fillId="0" borderId="0" xfId="0" applyFont="1" applyFill="1" applyBorder="1"/>
    <xf numFmtId="9" fontId="14" fillId="0" borderId="0" xfId="4" applyFont="1" applyBorder="1"/>
    <xf numFmtId="0" fontId="15" fillId="0" borderId="0" xfId="0" applyFont="1" applyBorder="1"/>
    <xf numFmtId="164" fontId="14" fillId="0" borderId="0" xfId="2" applyNumberFormat="1" applyFont="1"/>
    <xf numFmtId="164" fontId="14" fillId="0" borderId="0" xfId="0" applyNumberFormat="1" applyFont="1"/>
    <xf numFmtId="0" fontId="15" fillId="0" borderId="0" xfId="0" applyFont="1" applyFill="1" applyBorder="1"/>
    <xf numFmtId="164" fontId="14" fillId="0" borderId="9" xfId="2" applyNumberFormat="1" applyFont="1" applyBorder="1"/>
    <xf numFmtId="164" fontId="14" fillId="0" borderId="10" xfId="0" applyNumberFormat="1" applyFont="1" applyBorder="1"/>
    <xf numFmtId="0" fontId="15" fillId="0" borderId="0" xfId="0" applyNumberFormat="1" applyFont="1" applyAlignment="1"/>
    <xf numFmtId="167" fontId="15" fillId="0" borderId="0" xfId="4" applyNumberFormat="1" applyFont="1"/>
    <xf numFmtId="165" fontId="14" fillId="0" borderId="5" xfId="0" applyNumberFormat="1" applyFont="1" applyBorder="1"/>
    <xf numFmtId="165" fontId="14" fillId="0" borderId="0" xfId="0" applyNumberFormat="1" applyFont="1" applyBorder="1"/>
    <xf numFmtId="165" fontId="14" fillId="0" borderId="9" xfId="0" applyNumberFormat="1" applyFont="1" applyBorder="1"/>
    <xf numFmtId="165" fontId="14" fillId="0" borderId="10" xfId="0" applyNumberFormat="1" applyFont="1" applyBorder="1"/>
    <xf numFmtId="165" fontId="14" fillId="0" borderId="0" xfId="0" applyNumberFormat="1" applyFont="1"/>
    <xf numFmtId="164" fontId="14" fillId="0" borderId="6" xfId="2" applyNumberFormat="1" applyFont="1" applyBorder="1"/>
    <xf numFmtId="164" fontId="14" fillId="0" borderId="7" xfId="0" applyNumberFormat="1" applyFont="1" applyBorder="1"/>
    <xf numFmtId="43" fontId="14" fillId="0" borderId="0" xfId="0" applyNumberFormat="1" applyFont="1"/>
    <xf numFmtId="0" fontId="15" fillId="0" borderId="0" xfId="0" applyFont="1" applyAlignment="1"/>
    <xf numFmtId="0" fontId="14" fillId="0" borderId="6" xfId="0" applyFont="1" applyBorder="1" applyAlignment="1">
      <alignment horizontal="center"/>
    </xf>
    <xf numFmtId="0" fontId="14" fillId="0" borderId="6" xfId="0" applyFont="1" applyFill="1" applyBorder="1" applyAlignment="1">
      <alignment horizontal="center"/>
    </xf>
    <xf numFmtId="0" fontId="14" fillId="0" borderId="7" xfId="0" applyFont="1" applyBorder="1" applyAlignment="1">
      <alignment horizontal="center"/>
    </xf>
    <xf numFmtId="0" fontId="15" fillId="0" borderId="8" xfId="0" applyFont="1" applyBorder="1"/>
    <xf numFmtId="37" fontId="14" fillId="0" borderId="0" xfId="0" applyNumberFormat="1" applyFont="1" applyBorder="1"/>
    <xf numFmtId="164" fontId="14" fillId="0" borderId="5" xfId="0" applyNumberFormat="1" applyFont="1" applyBorder="1"/>
    <xf numFmtId="0" fontId="15" fillId="0" borderId="4" xfId="0" applyFont="1" applyBorder="1"/>
    <xf numFmtId="37" fontId="14" fillId="0" borderId="2" xfId="0" applyNumberFormat="1" applyFont="1" applyBorder="1"/>
    <xf numFmtId="164" fontId="14" fillId="0" borderId="2" xfId="2" applyNumberFormat="1" applyFont="1" applyBorder="1"/>
    <xf numFmtId="164" fontId="14" fillId="0" borderId="3" xfId="0" applyNumberFormat="1" applyFont="1" applyBorder="1"/>
    <xf numFmtId="0" fontId="17" fillId="0" borderId="0" xfId="0" applyFont="1"/>
    <xf numFmtId="165" fontId="14" fillId="0" borderId="0" xfId="1" applyNumberFormat="1" applyFont="1"/>
    <xf numFmtId="165" fontId="17" fillId="0" borderId="0" xfId="0" applyNumberFormat="1" applyFont="1"/>
    <xf numFmtId="164" fontId="14" fillId="0" borderId="6" xfId="0" applyNumberFormat="1" applyFont="1" applyBorder="1"/>
    <xf numFmtId="164" fontId="14" fillId="0" borderId="0" xfId="0" applyNumberFormat="1" applyFont="1" applyBorder="1"/>
    <xf numFmtId="164" fontId="14" fillId="0" borderId="0" xfId="0" applyNumberFormat="1" applyFont="1" applyBorder="1" applyAlignment="1">
      <alignment horizontal="center"/>
    </xf>
    <xf numFmtId="0" fontId="14" fillId="0" borderId="8" xfId="0" applyFont="1" applyFill="1" applyBorder="1"/>
    <xf numFmtId="0" fontId="14" fillId="0" borderId="5" xfId="0" applyFont="1" applyBorder="1"/>
    <xf numFmtId="0" fontId="14" fillId="0" borderId="4" xfId="0" applyFont="1" applyFill="1" applyBorder="1"/>
    <xf numFmtId="164" fontId="14" fillId="0" borderId="9" xfId="0" applyNumberFormat="1" applyFont="1" applyBorder="1"/>
    <xf numFmtId="164" fontId="14" fillId="0" borderId="2" xfId="0" applyNumberFormat="1" applyFont="1" applyBorder="1"/>
    <xf numFmtId="167" fontId="14" fillId="0" borderId="0" xfId="4" applyNumberFormat="1" applyFont="1" applyBorder="1"/>
    <xf numFmtId="0" fontId="14" fillId="0" borderId="0" xfId="0" applyFont="1" applyFill="1" applyBorder="1" applyAlignment="1">
      <alignment horizontal="left"/>
    </xf>
    <xf numFmtId="3" fontId="14" fillId="0" borderId="0" xfId="0" applyNumberFormat="1" applyFont="1"/>
    <xf numFmtId="44" fontId="14" fillId="0" borderId="0" xfId="2" applyFont="1"/>
    <xf numFmtId="167" fontId="14" fillId="0" borderId="0" xfId="4" applyNumberFormat="1" applyFont="1"/>
    <xf numFmtId="165" fontId="0" fillId="0" borderId="0" xfId="0" applyNumberFormat="1"/>
    <xf numFmtId="0" fontId="11" fillId="0" borderId="0" xfId="0" applyFont="1"/>
    <xf numFmtId="0" fontId="13" fillId="0" borderId="0" xfId="0" applyFont="1" applyAlignment="1">
      <alignment horizontal="center"/>
    </xf>
    <xf numFmtId="0" fontId="13" fillId="0" borderId="11" xfId="0" applyFont="1" applyBorder="1"/>
    <xf numFmtId="0" fontId="0" fillId="0" borderId="12" xfId="0" applyBorder="1"/>
    <xf numFmtId="0" fontId="0" fillId="0" borderId="13" xfId="0" applyBorder="1"/>
    <xf numFmtId="0" fontId="0" fillId="0" borderId="14" xfId="0" applyBorder="1"/>
    <xf numFmtId="0" fontId="0" fillId="0" borderId="0" xfId="0" applyBorder="1"/>
    <xf numFmtId="164" fontId="11" fillId="0" borderId="0" xfId="2" applyNumberFormat="1" applyBorder="1"/>
    <xf numFmtId="0" fontId="0" fillId="0" borderId="15" xfId="0" applyBorder="1"/>
    <xf numFmtId="0" fontId="13" fillId="0" borderId="0" xfId="0" applyFont="1" applyBorder="1" applyAlignment="1">
      <alignment horizontal="center"/>
    </xf>
    <xf numFmtId="164" fontId="0" fillId="0" borderId="0" xfId="0" applyNumberFormat="1" applyBorder="1"/>
    <xf numFmtId="0" fontId="0" fillId="0" borderId="16" xfId="0" applyBorder="1"/>
    <xf numFmtId="0" fontId="0" fillId="0" borderId="17" xfId="0" applyBorder="1"/>
    <xf numFmtId="0" fontId="0" fillId="0" borderId="18" xfId="0" applyBorder="1"/>
    <xf numFmtId="165" fontId="11" fillId="0" borderId="0" xfId="1" applyNumberFormat="1" applyBorder="1"/>
    <xf numFmtId="37" fontId="0" fillId="0" borderId="0" xfId="0" applyNumberFormat="1" applyFill="1" applyBorder="1"/>
    <xf numFmtId="165" fontId="0" fillId="0" borderId="0" xfId="0" applyNumberFormat="1" applyFill="1" applyBorder="1"/>
    <xf numFmtId="165" fontId="0" fillId="0" borderId="0" xfId="0" applyNumberFormat="1" applyBorder="1"/>
    <xf numFmtId="37" fontId="0" fillId="0" borderId="0" xfId="0" applyNumberFormat="1" applyBorder="1"/>
    <xf numFmtId="167" fontId="11" fillId="0" borderId="0" xfId="4" applyNumberFormat="1" applyBorder="1"/>
    <xf numFmtId="0" fontId="0" fillId="0" borderId="19" xfId="0" applyBorder="1"/>
    <xf numFmtId="0" fontId="13" fillId="0" borderId="12" xfId="0" applyFont="1" applyBorder="1" applyAlignment="1">
      <alignment horizontal="center"/>
    </xf>
    <xf numFmtId="0" fontId="0" fillId="0" borderId="9" xfId="0" applyBorder="1" applyAlignment="1">
      <alignment horizontal="center"/>
    </xf>
    <xf numFmtId="0" fontId="21" fillId="0" borderId="0" xfId="0" applyFont="1" applyAlignment="1">
      <alignment horizontal="left"/>
    </xf>
    <xf numFmtId="0" fontId="14" fillId="0" borderId="0" xfId="0" applyFont="1" applyAlignment="1">
      <alignment horizontal="left"/>
    </xf>
    <xf numFmtId="0" fontId="14" fillId="0" borderId="0" xfId="0" applyFont="1" applyFill="1" applyAlignment="1">
      <alignment horizontal="left"/>
    </xf>
    <xf numFmtId="15" fontId="14" fillId="0" borderId="0" xfId="0" applyNumberFormat="1" applyFont="1" applyAlignment="1">
      <alignment horizontal="left"/>
    </xf>
    <xf numFmtId="14" fontId="14" fillId="0" borderId="0" xfId="0" applyNumberFormat="1" applyFont="1" applyAlignment="1">
      <alignment horizontal="left"/>
    </xf>
    <xf numFmtId="16" fontId="13" fillId="0" borderId="20" xfId="0" applyNumberFormat="1" applyFont="1" applyBorder="1" applyAlignment="1"/>
    <xf numFmtId="16" fontId="13" fillId="0" borderId="21" xfId="0" applyNumberFormat="1" applyFont="1" applyBorder="1" applyAlignment="1"/>
    <xf numFmtId="16" fontId="13" fillId="0" borderId="22" xfId="0" applyNumberFormat="1" applyFont="1" applyBorder="1" applyAlignment="1">
      <alignment horizontal="center"/>
    </xf>
    <xf numFmtId="0" fontId="13" fillId="0" borderId="23" xfId="0" applyFont="1" applyBorder="1" applyAlignment="1">
      <alignment horizontal="center"/>
    </xf>
    <xf numFmtId="16" fontId="13" fillId="0" borderId="11" xfId="0" applyNumberFormat="1" applyFont="1" applyBorder="1" applyAlignment="1">
      <alignment horizontal="center"/>
    </xf>
    <xf numFmtId="16" fontId="13" fillId="0" borderId="12" xfId="0" applyNumberFormat="1" applyFont="1" applyBorder="1" applyAlignment="1">
      <alignment horizontal="center"/>
    </xf>
    <xf numFmtId="16" fontId="13" fillId="0" borderId="0" xfId="0" applyNumberFormat="1" applyFont="1" applyBorder="1" applyAlignment="1">
      <alignment horizontal="center"/>
    </xf>
    <xf numFmtId="16" fontId="13" fillId="0" borderId="20" xfId="0" applyNumberFormat="1" applyFont="1" applyBorder="1" applyAlignment="1">
      <alignment horizontal="center"/>
    </xf>
    <xf numFmtId="3" fontId="13" fillId="0" borderId="24" xfId="0" applyNumberFormat="1" applyFont="1" applyBorder="1" applyAlignment="1">
      <alignment horizontal="center"/>
    </xf>
    <xf numFmtId="3" fontId="13" fillId="2" borderId="24" xfId="0" applyNumberFormat="1" applyFont="1" applyFill="1" applyBorder="1" applyAlignment="1">
      <alignment horizontal="center"/>
    </xf>
    <xf numFmtId="3" fontId="13" fillId="0" borderId="24" xfId="0" applyNumberFormat="1" applyFont="1" applyFill="1" applyBorder="1" applyAlignment="1">
      <alignment horizontal="center"/>
    </xf>
    <xf numFmtId="3" fontId="13" fillId="0" borderId="24" xfId="0" quotePrefix="1" applyNumberFormat="1" applyFont="1" applyFill="1" applyBorder="1" applyAlignment="1">
      <alignment horizontal="center"/>
    </xf>
    <xf numFmtId="16" fontId="13" fillId="0" borderId="25" xfId="0" applyNumberFormat="1" applyFont="1" applyBorder="1" applyAlignment="1">
      <alignment horizontal="center"/>
    </xf>
    <xf numFmtId="16" fontId="13" fillId="0" borderId="10" xfId="0" applyNumberFormat="1" applyFont="1" applyBorder="1" applyAlignment="1">
      <alignment horizontal="center"/>
    </xf>
    <xf numFmtId="16" fontId="13" fillId="0" borderId="26" xfId="0" applyNumberFormat="1" applyFont="1" applyBorder="1" applyAlignment="1">
      <alignment horizontal="center"/>
    </xf>
    <xf numFmtId="16" fontId="13" fillId="0" borderId="0" xfId="0" quotePrefix="1" applyNumberFormat="1" applyFont="1" applyAlignment="1">
      <alignment horizontal="center"/>
    </xf>
    <xf numFmtId="16" fontId="13" fillId="0" borderId="27" xfId="0" applyNumberFormat="1" applyFont="1" applyBorder="1" applyAlignment="1">
      <alignment horizontal="center"/>
    </xf>
    <xf numFmtId="16" fontId="13" fillId="0" borderId="0" xfId="0" quotePrefix="1" applyNumberFormat="1" applyFont="1" applyBorder="1" applyAlignment="1">
      <alignment horizontal="center"/>
    </xf>
    <xf numFmtId="0" fontId="13" fillId="0" borderId="20" xfId="0" applyFont="1" applyBorder="1" applyAlignment="1">
      <alignment horizontal="center"/>
    </xf>
    <xf numFmtId="3" fontId="13" fillId="0" borderId="21" xfId="0" applyNumberFormat="1" applyFont="1" applyFill="1" applyBorder="1" applyAlignment="1">
      <alignment horizontal="center"/>
    </xf>
    <xf numFmtId="3" fontId="13" fillId="0" borderId="0" xfId="0" applyNumberFormat="1" applyFont="1" applyFill="1" applyBorder="1" applyAlignment="1">
      <alignment horizontal="center"/>
    </xf>
    <xf numFmtId="3" fontId="13" fillId="0" borderId="0" xfId="0" applyNumberFormat="1" applyFont="1" applyBorder="1" applyAlignment="1">
      <alignment horizontal="center"/>
    </xf>
    <xf numFmtId="0" fontId="21" fillId="0" borderId="0" xfId="0" applyFont="1" applyAlignment="1">
      <alignment horizontal="center"/>
    </xf>
    <xf numFmtId="166" fontId="14" fillId="0" borderId="0" xfId="0" applyNumberFormat="1" applyFont="1"/>
    <xf numFmtId="166" fontId="14" fillId="0" borderId="0" xfId="1" applyNumberFormat="1" applyFont="1"/>
    <xf numFmtId="166" fontId="14" fillId="0" borderId="0" xfId="0" applyNumberFormat="1" applyFont="1" applyFill="1"/>
    <xf numFmtId="164" fontId="14" fillId="0" borderId="0" xfId="2" applyNumberFormat="1" applyFont="1" applyFill="1" applyBorder="1"/>
    <xf numFmtId="37" fontId="14" fillId="0" borderId="0" xfId="1" applyNumberFormat="1" applyFont="1"/>
    <xf numFmtId="37" fontId="14" fillId="0" borderId="0" xfId="1" applyNumberFormat="1" applyFont="1" applyAlignment="1">
      <alignment horizontal="center"/>
    </xf>
    <xf numFmtId="0" fontId="14" fillId="0" borderId="0" xfId="0" applyFont="1" applyFill="1"/>
    <xf numFmtId="165" fontId="14" fillId="0" borderId="0" xfId="1" applyNumberFormat="1" applyFont="1" applyFill="1" applyBorder="1"/>
    <xf numFmtId="165" fontId="11" fillId="0" borderId="0" xfId="1" applyNumberFormat="1" applyFont="1"/>
    <xf numFmtId="165" fontId="14" fillId="0" borderId="0" xfId="1" applyNumberFormat="1" applyFont="1" applyFill="1"/>
    <xf numFmtId="165" fontId="14" fillId="0" borderId="0" xfId="1" applyNumberFormat="1" applyFont="1" applyFill="1" applyBorder="1" applyAlignment="1">
      <alignment horizontal="right"/>
    </xf>
    <xf numFmtId="165" fontId="14" fillId="0" borderId="9" xfId="1" applyNumberFormat="1" applyFont="1" applyFill="1" applyBorder="1"/>
    <xf numFmtId="37" fontId="14" fillId="0" borderId="0" xfId="1" applyNumberFormat="1" applyFont="1" applyFill="1" applyBorder="1"/>
    <xf numFmtId="3" fontId="14" fillId="0" borderId="0" xfId="0" applyNumberFormat="1" applyFont="1" applyBorder="1"/>
    <xf numFmtId="3" fontId="14" fillId="0" borderId="0" xfId="0" applyNumberFormat="1" applyFont="1" applyFill="1" applyBorder="1"/>
    <xf numFmtId="0" fontId="14" fillId="0" borderId="0" xfId="0" quotePrefix="1" applyFont="1" applyFill="1" applyAlignment="1">
      <alignment horizontal="right"/>
    </xf>
    <xf numFmtId="164" fontId="14" fillId="0" borderId="28" xfId="2" applyNumberFormat="1" applyFont="1" applyFill="1" applyBorder="1"/>
    <xf numFmtId="164" fontId="14" fillId="0" borderId="28" xfId="2" applyNumberFormat="1" applyFont="1" applyBorder="1"/>
    <xf numFmtId="37" fontId="16" fillId="0" borderId="0" xfId="1" applyNumberFormat="1" applyFont="1" applyBorder="1"/>
    <xf numFmtId="0" fontId="13" fillId="0" borderId="0" xfId="0" applyFont="1" applyAlignment="1">
      <alignment horizontal="left"/>
    </xf>
    <xf numFmtId="3" fontId="16" fillId="0" borderId="0" xfId="0" applyNumberFormat="1" applyFont="1" applyBorder="1"/>
    <xf numFmtId="43" fontId="14" fillId="0" borderId="0" xfId="1" applyFont="1" applyFill="1" applyBorder="1"/>
    <xf numFmtId="0" fontId="21" fillId="0" borderId="0" xfId="0" applyFont="1" applyFill="1" applyAlignment="1">
      <alignment horizontal="center"/>
    </xf>
    <xf numFmtId="37" fontId="14" fillId="0" borderId="0" xfId="1" applyNumberFormat="1" applyFont="1" applyFill="1"/>
    <xf numFmtId="168" fontId="14" fillId="0" borderId="0" xfId="1" applyNumberFormat="1" applyFont="1" applyFill="1"/>
    <xf numFmtId="0" fontId="20" fillId="0" borderId="0" xfId="0" applyFont="1" applyFill="1"/>
    <xf numFmtId="165" fontId="14" fillId="0" borderId="0" xfId="1" applyNumberFormat="1" applyFont="1" applyAlignment="1">
      <alignment horizontal="right"/>
    </xf>
    <xf numFmtId="0" fontId="13" fillId="0" borderId="0" xfId="0" applyFont="1" applyFill="1"/>
    <xf numFmtId="0" fontId="11" fillId="0" borderId="0" xfId="0" applyFont="1" applyBorder="1"/>
    <xf numFmtId="165" fontId="13" fillId="0" borderId="0" xfId="1" applyNumberFormat="1" applyFont="1" applyBorder="1"/>
    <xf numFmtId="0" fontId="13" fillId="0" borderId="0" xfId="0" quotePrefix="1" applyFont="1" applyBorder="1" applyAlignment="1">
      <alignment horizontal="center"/>
    </xf>
    <xf numFmtId="165" fontId="11" fillId="0" borderId="6" xfId="1" applyNumberFormat="1" applyBorder="1"/>
    <xf numFmtId="0" fontId="14" fillId="0" borderId="0" xfId="0" quotePrefix="1" applyFont="1" applyAlignment="1">
      <alignment horizontal="center"/>
    </xf>
    <xf numFmtId="165" fontId="13" fillId="0" borderId="0" xfId="1" applyNumberFormat="1" applyFont="1" applyAlignment="1">
      <alignment horizontal="center" wrapText="1"/>
    </xf>
    <xf numFmtId="165" fontId="14" fillId="0" borderId="16" xfId="1" applyNumberFormat="1" applyFont="1" applyBorder="1"/>
    <xf numFmtId="165" fontId="13" fillId="0" borderId="0" xfId="1" applyNumberFormat="1" applyFont="1"/>
    <xf numFmtId="165" fontId="0" fillId="0" borderId="0" xfId="1" applyNumberFormat="1" applyFont="1"/>
    <xf numFmtId="0" fontId="13" fillId="0" borderId="0" xfId="0" applyFont="1" applyAlignment="1"/>
    <xf numFmtId="0" fontId="0" fillId="0" borderId="0" xfId="0" applyAlignment="1">
      <alignment wrapText="1"/>
    </xf>
    <xf numFmtId="165" fontId="0" fillId="0" borderId="6" xfId="1" applyNumberFormat="1" applyFont="1" applyBorder="1"/>
    <xf numFmtId="165" fontId="0" fillId="0" borderId="9" xfId="0" applyNumberFormat="1" applyBorder="1"/>
    <xf numFmtId="0" fontId="11" fillId="0" borderId="0" xfId="0" applyFont="1" applyAlignment="1">
      <alignment wrapText="1"/>
    </xf>
    <xf numFmtId="165" fontId="11" fillId="0" borderId="0" xfId="0" applyNumberFormat="1" applyFont="1"/>
    <xf numFmtId="165" fontId="11" fillId="0" borderId="0" xfId="0" applyNumberFormat="1" applyFont="1" applyBorder="1"/>
    <xf numFmtId="165" fontId="11" fillId="0" borderId="9" xfId="0" applyNumberFormat="1" applyFont="1" applyBorder="1"/>
    <xf numFmtId="3" fontId="13" fillId="0" borderId="20" xfId="0" applyNumberFormat="1" applyFont="1" applyFill="1" applyBorder="1" applyAlignment="1">
      <alignment horizontal="center"/>
    </xf>
    <xf numFmtId="3" fontId="14" fillId="0" borderId="29" xfId="0" applyNumberFormat="1" applyFont="1" applyBorder="1"/>
    <xf numFmtId="165" fontId="14" fillId="0" borderId="29" xfId="1" applyNumberFormat="1" applyFont="1" applyBorder="1"/>
    <xf numFmtId="165" fontId="14" fillId="0" borderId="30" xfId="1" applyNumberFormat="1" applyFont="1" applyBorder="1"/>
    <xf numFmtId="164" fontId="14" fillId="0" borderId="31" xfId="2" applyNumberFormat="1" applyFont="1" applyFill="1" applyBorder="1"/>
    <xf numFmtId="164" fontId="14" fillId="0" borderId="29" xfId="2" applyNumberFormat="1" applyFont="1" applyFill="1" applyBorder="1"/>
    <xf numFmtId="3" fontId="14" fillId="0" borderId="33" xfId="0" applyNumberFormat="1" applyFont="1" applyBorder="1"/>
    <xf numFmtId="167" fontId="0" fillId="0" borderId="0" xfId="4" applyNumberFormat="1" applyFont="1" applyBorder="1"/>
    <xf numFmtId="167" fontId="0" fillId="0" borderId="15" xfId="4" applyNumberFormat="1" applyFont="1" applyBorder="1"/>
    <xf numFmtId="0" fontId="0" fillId="0" borderId="34" xfId="0" applyBorder="1" applyAlignment="1">
      <alignment horizontal="center"/>
    </xf>
    <xf numFmtId="164" fontId="13" fillId="0" borderId="0" xfId="2" quotePrefix="1" applyNumberFormat="1" applyFont="1" applyBorder="1" applyAlignment="1">
      <alignment horizontal="center"/>
    </xf>
    <xf numFmtId="37" fontId="0" fillId="0" borderId="6" xfId="0" applyNumberFormat="1" applyFill="1" applyBorder="1"/>
    <xf numFmtId="165" fontId="11" fillId="0" borderId="6" xfId="1" applyNumberFormat="1" applyFill="1" applyBorder="1"/>
    <xf numFmtId="164" fontId="0" fillId="0" borderId="0" xfId="2" applyNumberFormat="1" applyFont="1"/>
    <xf numFmtId="0" fontId="16" fillId="0" borderId="0" xfId="0" applyFont="1"/>
    <xf numFmtId="164" fontId="11" fillId="0" borderId="0" xfId="2" applyNumberFormat="1" applyFont="1" applyBorder="1"/>
    <xf numFmtId="0" fontId="24" fillId="0" borderId="0" xfId="3" applyFont="1" applyFill="1" applyBorder="1"/>
    <xf numFmtId="165" fontId="0" fillId="0" borderId="15" xfId="1" applyNumberFormat="1" applyFont="1" applyBorder="1"/>
    <xf numFmtId="165" fontId="0" fillId="0" borderId="0" xfId="1" applyNumberFormat="1" applyFont="1" applyBorder="1"/>
    <xf numFmtId="165" fontId="0" fillId="0" borderId="36" xfId="1" applyNumberFormat="1" applyFont="1" applyBorder="1"/>
    <xf numFmtId="165" fontId="0" fillId="0" borderId="9" xfId="1" applyNumberFormat="1" applyFont="1" applyBorder="1" applyAlignment="1">
      <alignment horizontal="center"/>
    </xf>
    <xf numFmtId="165" fontId="0" fillId="0" borderId="34" xfId="1" applyNumberFormat="1" applyFont="1" applyBorder="1" applyAlignment="1">
      <alignment horizontal="center"/>
    </xf>
    <xf numFmtId="0" fontId="14" fillId="0" borderId="29" xfId="0" applyFont="1" applyBorder="1"/>
    <xf numFmtId="166" fontId="14" fillId="0" borderId="29" xfId="0" applyNumberFormat="1" applyFont="1" applyBorder="1"/>
    <xf numFmtId="165" fontId="14" fillId="0" borderId="29" xfId="0" applyNumberFormat="1" applyFont="1" applyFill="1" applyBorder="1"/>
    <xf numFmtId="0" fontId="13" fillId="0" borderId="9" xfId="0" quotePrefix="1" applyFont="1" applyBorder="1" applyAlignment="1">
      <alignment horizontal="center"/>
    </xf>
    <xf numFmtId="3" fontId="27" fillId="0" borderId="33" xfId="0" applyNumberFormat="1" applyFont="1" applyFill="1" applyBorder="1" applyAlignment="1">
      <alignment horizontal="center"/>
    </xf>
    <xf numFmtId="16" fontId="13" fillId="0" borderId="9" xfId="0" quotePrefix="1" applyNumberFormat="1" applyFont="1" applyBorder="1" applyAlignment="1">
      <alignment horizontal="center"/>
    </xf>
    <xf numFmtId="167" fontId="29" fillId="0" borderId="15" xfId="4" applyNumberFormat="1" applyFont="1" applyBorder="1"/>
    <xf numFmtId="10" fontId="0" fillId="0" borderId="0" xfId="0" applyNumberFormat="1"/>
    <xf numFmtId="37" fontId="0" fillId="0" borderId="15" xfId="0" applyNumberFormat="1" applyBorder="1"/>
    <xf numFmtId="3" fontId="27" fillId="0" borderId="20" xfId="0" applyNumberFormat="1" applyFont="1" applyFill="1" applyBorder="1" applyAlignment="1">
      <alignment horizontal="center"/>
    </xf>
    <xf numFmtId="165" fontId="11" fillId="0" borderId="0" xfId="1" applyNumberFormat="1" applyFill="1" applyBorder="1"/>
    <xf numFmtId="167" fontId="29" fillId="0" borderId="0" xfId="4" applyNumberFormat="1" applyFont="1" applyBorder="1"/>
    <xf numFmtId="0" fontId="29" fillId="0" borderId="16" xfId="0" applyFont="1" applyBorder="1"/>
    <xf numFmtId="16" fontId="28" fillId="0" borderId="9" xfId="0" quotePrefix="1" applyNumberFormat="1" applyFont="1" applyBorder="1" applyAlignment="1">
      <alignment horizontal="center"/>
    </xf>
    <xf numFmtId="3" fontId="14" fillId="0" borderId="14" xfId="0" applyNumberFormat="1" applyFont="1" applyBorder="1"/>
    <xf numFmtId="165" fontId="14" fillId="0" borderId="14" xfId="1" applyNumberFormat="1" applyFont="1" applyBorder="1"/>
    <xf numFmtId="165" fontId="14" fillId="0" borderId="18" xfId="1" applyNumberFormat="1" applyFont="1" applyBorder="1"/>
    <xf numFmtId="164" fontId="14" fillId="0" borderId="40" xfId="2" applyNumberFormat="1" applyFont="1" applyFill="1" applyBorder="1"/>
    <xf numFmtId="164" fontId="14" fillId="0" borderId="14" xfId="2" applyNumberFormat="1" applyFont="1" applyFill="1" applyBorder="1"/>
    <xf numFmtId="3" fontId="14" fillId="0" borderId="19" xfId="0" applyNumberFormat="1" applyFont="1" applyBorder="1"/>
    <xf numFmtId="3" fontId="13" fillId="0" borderId="16" xfId="0" applyNumberFormat="1" applyFont="1" applyFill="1" applyBorder="1" applyAlignment="1">
      <alignment horizontal="center"/>
    </xf>
    <xf numFmtId="3" fontId="14" fillId="0" borderId="17" xfId="0" applyNumberFormat="1" applyFont="1" applyBorder="1"/>
    <xf numFmtId="165" fontId="11" fillId="0" borderId="0" xfId="1" applyNumberFormat="1" applyAlignment="1">
      <alignment horizontal="center"/>
    </xf>
    <xf numFmtId="165" fontId="14" fillId="0" borderId="0" xfId="1" applyNumberFormat="1" applyFont="1" applyAlignment="1">
      <alignment horizontal="center"/>
    </xf>
    <xf numFmtId="17" fontId="14" fillId="0" borderId="0" xfId="0" quotePrefix="1" applyNumberFormat="1" applyFont="1" applyAlignment="1">
      <alignment horizontal="center"/>
    </xf>
    <xf numFmtId="17" fontId="14" fillId="0" borderId="0" xfId="0" applyNumberFormat="1" applyFont="1" applyFill="1" applyAlignment="1">
      <alignment horizontal="center"/>
    </xf>
    <xf numFmtId="17" fontId="11" fillId="0" borderId="0" xfId="0" applyNumberFormat="1" applyFont="1" applyAlignment="1">
      <alignment horizontal="center"/>
    </xf>
    <xf numFmtId="17" fontId="14" fillId="0" borderId="0" xfId="0" applyNumberFormat="1" applyFont="1" applyAlignment="1">
      <alignment horizontal="center"/>
    </xf>
    <xf numFmtId="165" fontId="13" fillId="3" borderId="0" xfId="1" applyNumberFormat="1" applyFont="1" applyFill="1" applyAlignment="1">
      <alignment horizontal="center"/>
    </xf>
    <xf numFmtId="0" fontId="13" fillId="0" borderId="41" xfId="0" applyFont="1" applyBorder="1" applyAlignment="1">
      <alignment horizontal="center" wrapText="1"/>
    </xf>
    <xf numFmtId="165" fontId="14" fillId="0" borderId="0" xfId="1" quotePrefix="1" applyNumberFormat="1" applyFont="1" applyAlignment="1">
      <alignment horizontal="center"/>
    </xf>
    <xf numFmtId="165" fontId="14" fillId="0" borderId="0" xfId="0" quotePrefix="1" applyNumberFormat="1" applyFont="1" applyAlignment="1">
      <alignment horizontal="center"/>
    </xf>
    <xf numFmtId="165" fontId="14" fillId="0" borderId="9" xfId="1" applyNumberFormat="1" applyFont="1" applyBorder="1" applyAlignment="1">
      <alignment horizontal="center"/>
    </xf>
    <xf numFmtId="165" fontId="14" fillId="0" borderId="9" xfId="0" quotePrefix="1" applyNumberFormat="1" applyFont="1" applyBorder="1" applyAlignment="1">
      <alignment horizontal="center"/>
    </xf>
    <xf numFmtId="165" fontId="13" fillId="0" borderId="0" xfId="0" applyNumberFormat="1" applyFont="1"/>
    <xf numFmtId="165" fontId="13" fillId="3" borderId="0" xfId="0" applyNumberFormat="1" applyFont="1" applyFill="1"/>
    <xf numFmtId="0" fontId="30" fillId="3" borderId="0" xfId="0" applyFont="1" applyFill="1"/>
    <xf numFmtId="165" fontId="30" fillId="3" borderId="0" xfId="1" applyNumberFormat="1" applyFont="1" applyFill="1" applyAlignment="1">
      <alignment horizontal="center"/>
    </xf>
    <xf numFmtId="165" fontId="30" fillId="3" borderId="0" xfId="0" applyNumberFormat="1" applyFont="1" applyFill="1"/>
    <xf numFmtId="0" fontId="31" fillId="0" borderId="0" xfId="0" applyFont="1"/>
    <xf numFmtId="0" fontId="0" fillId="0" borderId="0" xfId="0" applyAlignment="1">
      <alignment horizontal="left"/>
    </xf>
    <xf numFmtId="165" fontId="31" fillId="0" borderId="0" xfId="0" applyNumberFormat="1" applyFont="1"/>
    <xf numFmtId="43" fontId="0" fillId="0" borderId="0" xfId="1" applyFont="1"/>
    <xf numFmtId="8" fontId="0" fillId="0" borderId="0" xfId="0" applyNumberFormat="1"/>
    <xf numFmtId="8" fontId="0" fillId="0" borderId="6" xfId="0" applyNumberFormat="1" applyBorder="1"/>
    <xf numFmtId="0" fontId="32" fillId="0" borderId="0" xfId="0" applyFont="1"/>
    <xf numFmtId="6" fontId="0" fillId="0" borderId="0" xfId="0" applyNumberFormat="1"/>
    <xf numFmtId="6" fontId="0" fillId="0" borderId="9" xfId="0" applyNumberFormat="1" applyBorder="1"/>
    <xf numFmtId="0" fontId="33" fillId="0" borderId="0" xfId="0" applyFont="1"/>
    <xf numFmtId="16" fontId="0" fillId="0" borderId="0" xfId="0" quotePrefix="1" applyNumberFormat="1"/>
    <xf numFmtId="9" fontId="0" fillId="0" borderId="0" xfId="4" applyFont="1"/>
    <xf numFmtId="0" fontId="0" fillId="0" borderId="0" xfId="0" quotePrefix="1"/>
    <xf numFmtId="164" fontId="35" fillId="0" borderId="0" xfId="2" applyNumberFormat="1" applyFont="1"/>
    <xf numFmtId="4" fontId="36" fillId="0" borderId="0" xfId="0" applyNumberFormat="1" applyFont="1" applyAlignment="1">
      <alignment horizontal="right"/>
    </xf>
    <xf numFmtId="164" fontId="35" fillId="0" borderId="0" xfId="0" applyNumberFormat="1" applyFont="1"/>
    <xf numFmtId="164" fontId="0" fillId="0" borderId="9" xfId="2" applyNumberFormat="1" applyFont="1" applyBorder="1"/>
    <xf numFmtId="164" fontId="0" fillId="0" borderId="0" xfId="0" applyNumberFormat="1"/>
    <xf numFmtId="0" fontId="12" fillId="0" borderId="0" xfId="0" applyFont="1" applyFill="1" applyAlignment="1">
      <alignment horizontal="center"/>
    </xf>
    <xf numFmtId="165" fontId="14" fillId="0" borderId="29" xfId="1" applyNumberFormat="1" applyFont="1" applyFill="1" applyBorder="1"/>
    <xf numFmtId="0" fontId="11" fillId="0" borderId="8" xfId="0" applyFont="1" applyBorder="1"/>
    <xf numFmtId="0" fontId="37" fillId="0" borderId="0" xfId="0" applyFont="1"/>
    <xf numFmtId="0" fontId="34" fillId="0" borderId="0" xfId="0" applyFont="1" applyAlignment="1">
      <alignment horizontal="left"/>
    </xf>
    <xf numFmtId="0" fontId="35" fillId="0" borderId="0" xfId="0" applyFont="1"/>
    <xf numFmtId="0" fontId="13" fillId="0" borderId="9" xfId="0" quotePrefix="1" applyFont="1" applyFill="1" applyBorder="1" applyAlignment="1">
      <alignment horizontal="center"/>
    </xf>
    <xf numFmtId="164" fontId="0" fillId="0" borderId="0" xfId="2" applyNumberFormat="1" applyFont="1" applyBorder="1"/>
    <xf numFmtId="0" fontId="11" fillId="0" borderId="4" xfId="0" applyFont="1" applyBorder="1"/>
    <xf numFmtId="0" fontId="11" fillId="0" borderId="1" xfId="0" applyFont="1" applyBorder="1"/>
    <xf numFmtId="0" fontId="11" fillId="0" borderId="0" xfId="0" applyFont="1" applyAlignment="1">
      <alignment horizontal="left" indent="1"/>
    </xf>
    <xf numFmtId="0" fontId="11" fillId="0" borderId="0" xfId="0" applyFont="1" applyAlignment="1">
      <alignment horizontal="center"/>
    </xf>
    <xf numFmtId="43" fontId="11" fillId="0" borderId="0" xfId="1" applyFont="1"/>
    <xf numFmtId="0" fontId="13" fillId="0" borderId="9" xfId="0" applyFont="1" applyBorder="1" applyAlignment="1">
      <alignment horizontal="center"/>
    </xf>
    <xf numFmtId="43" fontId="13" fillId="0" borderId="9" xfId="1" applyFont="1" applyFill="1" applyBorder="1" applyAlignment="1">
      <alignment horizontal="center"/>
    </xf>
    <xf numFmtId="43" fontId="13" fillId="0" borderId="9" xfId="1" applyFont="1" applyBorder="1" applyAlignment="1">
      <alignment horizontal="center"/>
    </xf>
    <xf numFmtId="9" fontId="11" fillId="0" borderId="0" xfId="4"/>
    <xf numFmtId="9" fontId="11" fillId="0" borderId="0" xfId="4" applyFont="1"/>
    <xf numFmtId="3" fontId="11" fillId="0" borderId="0" xfId="4" applyNumberFormat="1"/>
    <xf numFmtId="9" fontId="11" fillId="0" borderId="9" xfId="4" applyBorder="1"/>
    <xf numFmtId="9" fontId="11" fillId="0" borderId="9" xfId="4" applyFont="1" applyBorder="1"/>
    <xf numFmtId="165" fontId="13" fillId="0" borderId="6" xfId="1" applyNumberFormat="1" applyFont="1" applyBorder="1"/>
    <xf numFmtId="9" fontId="13" fillId="0" borderId="0" xfId="4" applyFont="1"/>
    <xf numFmtId="165" fontId="13" fillId="0" borderId="6" xfId="0" applyNumberFormat="1" applyFont="1" applyBorder="1"/>
    <xf numFmtId="9" fontId="13" fillId="0" borderId="6" xfId="4" applyFont="1" applyBorder="1"/>
    <xf numFmtId="3" fontId="13" fillId="0" borderId="6" xfId="4" applyNumberFormat="1" applyFont="1" applyBorder="1"/>
    <xf numFmtId="0" fontId="14" fillId="0" borderId="29" xfId="0" applyFont="1" applyFill="1" applyBorder="1"/>
    <xf numFmtId="37" fontId="0" fillId="0" borderId="0" xfId="0" applyNumberFormat="1"/>
    <xf numFmtId="16" fontId="11" fillId="0" borderId="0" xfId="0" quotePrefix="1" applyNumberFormat="1" applyFont="1"/>
    <xf numFmtId="37" fontId="0" fillId="0" borderId="9" xfId="0" applyNumberFormat="1" applyBorder="1"/>
    <xf numFmtId="164" fontId="13" fillId="0" borderId="0" xfId="2" applyNumberFormat="1" applyFont="1"/>
    <xf numFmtId="37" fontId="13" fillId="0" borderId="0" xfId="0" applyNumberFormat="1" applyFont="1"/>
    <xf numFmtId="164" fontId="13" fillId="0" borderId="0" xfId="0" applyNumberFormat="1" applyFont="1"/>
    <xf numFmtId="0" fontId="0" fillId="0" borderId="9" xfId="0" applyBorder="1"/>
    <xf numFmtId="164" fontId="0" fillId="0" borderId="9" xfId="0" applyNumberFormat="1" applyBorder="1"/>
    <xf numFmtId="3" fontId="13" fillId="0" borderId="0" xfId="0" applyNumberFormat="1" applyFont="1"/>
    <xf numFmtId="0" fontId="13" fillId="0" borderId="20" xfId="0" applyFont="1" applyBorder="1"/>
    <xf numFmtId="164" fontId="13" fillId="0" borderId="22" xfId="2" applyNumberFormat="1" applyFont="1" applyBorder="1"/>
    <xf numFmtId="44" fontId="0" fillId="0" borderId="0" xfId="2" applyFont="1"/>
    <xf numFmtId="44" fontId="0" fillId="0" borderId="0" xfId="0" applyNumberFormat="1"/>
    <xf numFmtId="0" fontId="35" fillId="0" borderId="0" xfId="0" applyFont="1" applyBorder="1"/>
    <xf numFmtId="164" fontId="35" fillId="0" borderId="0" xfId="2" applyNumberFormat="1" applyFont="1" applyBorder="1"/>
    <xf numFmtId="16" fontId="13" fillId="0" borderId="9" xfId="0" quotePrefix="1" applyNumberFormat="1" applyFont="1" applyFill="1" applyBorder="1" applyAlignment="1">
      <alignment horizontal="center"/>
    </xf>
    <xf numFmtId="0" fontId="11" fillId="0" borderId="14" xfId="0" applyFont="1" applyBorder="1"/>
    <xf numFmtId="0" fontId="11" fillId="0" borderId="29" xfId="0" applyFont="1" applyBorder="1"/>
    <xf numFmtId="164" fontId="11" fillId="0" borderId="31" xfId="2" applyNumberFormat="1" applyFont="1" applyFill="1" applyBorder="1"/>
    <xf numFmtId="164" fontId="11" fillId="0" borderId="29" xfId="2" applyNumberFormat="1" applyFont="1" applyFill="1" applyBorder="1"/>
    <xf numFmtId="164" fontId="11" fillId="0" borderId="0" xfId="0" applyNumberFormat="1" applyFont="1"/>
    <xf numFmtId="37" fontId="14" fillId="0" borderId="0" xfId="0" applyNumberFormat="1" applyFont="1"/>
    <xf numFmtId="0" fontId="12" fillId="0" borderId="0" xfId="0" applyFont="1" applyBorder="1"/>
    <xf numFmtId="9" fontId="12" fillId="0" borderId="0" xfId="0" applyNumberFormat="1" applyFont="1" applyBorder="1" applyAlignment="1">
      <alignment horizontal="right"/>
    </xf>
    <xf numFmtId="0" fontId="39" fillId="5" borderId="43" xfId="0" applyFont="1" applyFill="1" applyBorder="1"/>
    <xf numFmtId="16" fontId="0" fillId="5" borderId="44" xfId="0" quotePrefix="1" applyNumberFormat="1" applyFill="1" applyBorder="1" applyAlignment="1">
      <alignment horizontal="center"/>
    </xf>
    <xf numFmtId="16" fontId="0" fillId="5" borderId="45" xfId="0" quotePrefix="1" applyNumberFormat="1" applyFill="1" applyBorder="1" applyAlignment="1">
      <alignment horizontal="center"/>
    </xf>
    <xf numFmtId="164" fontId="0" fillId="0" borderId="41" xfId="2" applyNumberFormat="1" applyFont="1" applyBorder="1"/>
    <xf numFmtId="164" fontId="0" fillId="0" borderId="15" xfId="2" applyNumberFormat="1" applyFont="1" applyBorder="1"/>
    <xf numFmtId="0" fontId="39" fillId="5" borderId="46" xfId="0" applyFont="1" applyFill="1" applyBorder="1"/>
    <xf numFmtId="16" fontId="0" fillId="5" borderId="41" xfId="0" quotePrefix="1" applyNumberFormat="1" applyFill="1" applyBorder="1" applyAlignment="1">
      <alignment horizontal="center"/>
    </xf>
    <xf numFmtId="16" fontId="0" fillId="5" borderId="47" xfId="0" quotePrefix="1" applyNumberFormat="1" applyFill="1" applyBorder="1" applyAlignment="1">
      <alignment horizontal="center"/>
    </xf>
    <xf numFmtId="0" fontId="0" fillId="0" borderId="48" xfId="0" applyBorder="1"/>
    <xf numFmtId="164" fontId="0" fillId="0" borderId="27" xfId="2" applyNumberFormat="1" applyFont="1" applyBorder="1"/>
    <xf numFmtId="164" fontId="0" fillId="0" borderId="47" xfId="2" applyNumberFormat="1" applyFont="1" applyBorder="1"/>
    <xf numFmtId="16" fontId="0" fillId="5" borderId="8" xfId="0" quotePrefix="1" applyNumberFormat="1" applyFill="1" applyBorder="1" applyAlignment="1">
      <alignment horizontal="center"/>
    </xf>
    <xf numFmtId="16" fontId="0" fillId="5" borderId="49" xfId="0" quotePrefix="1" applyNumberFormat="1" applyFill="1" applyBorder="1" applyAlignment="1">
      <alignment horizontal="center"/>
    </xf>
    <xf numFmtId="0" fontId="39" fillId="0" borderId="19" xfId="0" applyFont="1" applyBorder="1"/>
    <xf numFmtId="164" fontId="39" fillId="0" borderId="50" xfId="2" applyNumberFormat="1" applyFont="1" applyBorder="1"/>
    <xf numFmtId="164" fontId="39" fillId="0" borderId="51" xfId="2" applyNumberFormat="1" applyFont="1" applyBorder="1"/>
    <xf numFmtId="0" fontId="39" fillId="0" borderId="0" xfId="0" applyFont="1"/>
    <xf numFmtId="0" fontId="11" fillId="0" borderId="0" xfId="0" applyFont="1" applyFill="1" applyBorder="1"/>
    <xf numFmtId="3" fontId="27" fillId="0" borderId="19" xfId="0" applyNumberFormat="1" applyFont="1" applyFill="1" applyBorder="1" applyAlignment="1">
      <alignment horizontal="center"/>
    </xf>
    <xf numFmtId="165" fontId="0" fillId="0" borderId="0" xfId="1" applyNumberFormat="1" applyFont="1" applyFill="1" applyBorder="1" applyAlignment="1">
      <alignment horizontal="center"/>
    </xf>
    <xf numFmtId="165" fontId="0" fillId="0" borderId="0" xfId="1" applyNumberFormat="1" applyFont="1" applyFill="1" applyBorder="1"/>
    <xf numFmtId="165" fontId="0" fillId="0" borderId="9" xfId="1" applyNumberFormat="1" applyFont="1" applyBorder="1"/>
    <xf numFmtId="167" fontId="0" fillId="0" borderId="0" xfId="4" applyNumberFormat="1" applyFont="1"/>
    <xf numFmtId="165" fontId="35" fillId="0" borderId="6" xfId="1" applyNumberFormat="1" applyFont="1" applyBorder="1"/>
    <xf numFmtId="0" fontId="11" fillId="0" borderId="8" xfId="0" applyFont="1" applyFill="1" applyBorder="1"/>
    <xf numFmtId="3" fontId="0" fillId="0" borderId="0" xfId="0" applyNumberFormat="1"/>
    <xf numFmtId="0" fontId="0" fillId="0" borderId="0" xfId="0" applyAlignment="1">
      <alignment horizontal="center"/>
    </xf>
    <xf numFmtId="0" fontId="11" fillId="0" borderId="9" xfId="0" applyFont="1" applyBorder="1" applyAlignment="1">
      <alignment horizontal="center"/>
    </xf>
    <xf numFmtId="43" fontId="11" fillId="0" borderId="9" xfId="1" applyFont="1" applyBorder="1" applyAlignment="1">
      <alignment horizontal="center"/>
    </xf>
    <xf numFmtId="43" fontId="11" fillId="0" borderId="9" xfId="1" applyFont="1" applyFill="1" applyBorder="1" applyAlignment="1">
      <alignment horizontal="center"/>
    </xf>
    <xf numFmtId="9" fontId="11" fillId="0" borderId="0" xfId="4" applyNumberFormat="1"/>
    <xf numFmtId="165" fontId="11" fillId="0" borderId="0" xfId="1" applyNumberFormat="1"/>
    <xf numFmtId="165" fontId="11" fillId="0" borderId="6" xfId="1" applyNumberFormat="1" applyFont="1" applyBorder="1"/>
    <xf numFmtId="9" fontId="11" fillId="0" borderId="6" xfId="4" applyFont="1" applyBorder="1"/>
    <xf numFmtId="165" fontId="11" fillId="0" borderId="6" xfId="0" applyNumberFormat="1" applyFont="1" applyBorder="1"/>
    <xf numFmtId="9" fontId="11" fillId="0" borderId="6" xfId="4" applyBorder="1"/>
    <xf numFmtId="165" fontId="0" fillId="0" borderId="6" xfId="0" applyNumberFormat="1" applyBorder="1"/>
    <xf numFmtId="3" fontId="11" fillId="0" borderId="6" xfId="4" applyNumberFormat="1" applyBorder="1"/>
    <xf numFmtId="164" fontId="14" fillId="0" borderId="9" xfId="2" applyNumberFormat="1" applyFont="1" applyFill="1" applyBorder="1"/>
    <xf numFmtId="4" fontId="0" fillId="0" borderId="0" xfId="0" applyNumberFormat="1"/>
    <xf numFmtId="4" fontId="0" fillId="0" borderId="9" xfId="0" applyNumberFormat="1" applyBorder="1"/>
    <xf numFmtId="43" fontId="0" fillId="0" borderId="0" xfId="0" applyNumberFormat="1"/>
    <xf numFmtId="9" fontId="14" fillId="0" borderId="0" xfId="4" applyFont="1"/>
    <xf numFmtId="0" fontId="21" fillId="0" borderId="0" xfId="0" applyFont="1" applyFill="1" applyAlignment="1">
      <alignment horizontal="left"/>
    </xf>
    <xf numFmtId="15" fontId="14" fillId="0" borderId="0" xfId="0" applyNumberFormat="1" applyFont="1" applyFill="1" applyAlignment="1">
      <alignment horizontal="left"/>
    </xf>
    <xf numFmtId="3" fontId="14" fillId="0" borderId="0" xfId="0" applyNumberFormat="1" applyFont="1" applyFill="1"/>
    <xf numFmtId="14" fontId="14" fillId="0" borderId="0" xfId="0" applyNumberFormat="1" applyFont="1" applyFill="1" applyAlignment="1">
      <alignment horizontal="left"/>
    </xf>
    <xf numFmtId="16" fontId="13" fillId="0" borderId="20" xfId="0" applyNumberFormat="1" applyFont="1" applyFill="1" applyBorder="1" applyAlignment="1"/>
    <xf numFmtId="16" fontId="13" fillId="0" borderId="21" xfId="0" applyNumberFormat="1" applyFont="1" applyFill="1" applyBorder="1" applyAlignment="1"/>
    <xf numFmtId="16" fontId="13" fillId="0" borderId="22" xfId="0" applyNumberFormat="1" applyFont="1" applyFill="1" applyBorder="1" applyAlignment="1">
      <alignment horizontal="center"/>
    </xf>
    <xf numFmtId="0" fontId="14" fillId="0" borderId="0" xfId="0" applyFont="1" applyFill="1" applyAlignment="1">
      <alignment horizontal="center"/>
    </xf>
    <xf numFmtId="0" fontId="13" fillId="0" borderId="23" xfId="0" applyFont="1" applyFill="1" applyBorder="1" applyAlignment="1">
      <alignment horizontal="center"/>
    </xf>
    <xf numFmtId="16" fontId="13" fillId="0" borderId="11" xfId="0" applyNumberFormat="1" applyFont="1" applyFill="1" applyBorder="1" applyAlignment="1">
      <alignment horizontal="center"/>
    </xf>
    <xf numFmtId="16" fontId="13" fillId="0" borderId="12" xfId="0" applyNumberFormat="1" applyFont="1" applyFill="1" applyBorder="1" applyAlignment="1">
      <alignment horizontal="center"/>
    </xf>
    <xf numFmtId="16" fontId="13" fillId="0" borderId="0" xfId="0" applyNumberFormat="1" applyFont="1" applyFill="1" applyBorder="1" applyAlignment="1">
      <alignment horizontal="center"/>
    </xf>
    <xf numFmtId="16" fontId="13" fillId="0" borderId="20" xfId="0" applyNumberFormat="1" applyFont="1" applyFill="1" applyBorder="1" applyAlignment="1">
      <alignment horizontal="center"/>
    </xf>
    <xf numFmtId="0" fontId="13" fillId="0" borderId="24" xfId="0" quotePrefix="1" applyFont="1" applyFill="1" applyBorder="1" applyAlignment="1">
      <alignment horizontal="center"/>
    </xf>
    <xf numFmtId="16" fontId="13" fillId="0" borderId="25" xfId="0" applyNumberFormat="1" applyFont="1" applyFill="1" applyBorder="1" applyAlignment="1">
      <alignment horizontal="center"/>
    </xf>
    <xf numFmtId="16" fontId="13" fillId="0" borderId="10" xfId="0" applyNumberFormat="1" applyFont="1" applyFill="1" applyBorder="1" applyAlignment="1">
      <alignment horizontal="center"/>
    </xf>
    <xf numFmtId="16" fontId="13" fillId="0" borderId="26" xfId="0" applyNumberFormat="1" applyFont="1" applyFill="1" applyBorder="1" applyAlignment="1">
      <alignment horizontal="center"/>
    </xf>
    <xf numFmtId="16" fontId="13" fillId="0" borderId="0" xfId="0" quotePrefix="1" applyNumberFormat="1" applyFont="1" applyFill="1" applyAlignment="1">
      <alignment horizontal="center"/>
    </xf>
    <xf numFmtId="16" fontId="13" fillId="0" borderId="27" xfId="0" applyNumberFormat="1" applyFont="1" applyFill="1" applyBorder="1" applyAlignment="1">
      <alignment horizontal="center"/>
    </xf>
    <xf numFmtId="16" fontId="13" fillId="0" borderId="0" xfId="0" quotePrefix="1" applyNumberFormat="1" applyFont="1" applyFill="1" applyBorder="1" applyAlignment="1">
      <alignment horizontal="center"/>
    </xf>
    <xf numFmtId="0" fontId="13" fillId="0" borderId="20" xfId="0" applyFont="1" applyFill="1" applyBorder="1" applyAlignment="1">
      <alignment horizontal="center"/>
    </xf>
    <xf numFmtId="0" fontId="13" fillId="0" borderId="0" xfId="0" applyFont="1" applyFill="1" applyBorder="1" applyAlignment="1">
      <alignment horizontal="center"/>
    </xf>
    <xf numFmtId="3" fontId="14" fillId="0" borderId="14" xfId="0" applyNumberFormat="1" applyFont="1" applyFill="1" applyBorder="1"/>
    <xf numFmtId="3" fontId="14" fillId="0" borderId="29" xfId="0" applyNumberFormat="1" applyFont="1" applyFill="1" applyBorder="1"/>
    <xf numFmtId="166" fontId="14" fillId="0" borderId="0" xfId="1" applyNumberFormat="1" applyFont="1" applyFill="1"/>
    <xf numFmtId="164" fontId="14" fillId="0" borderId="0" xfId="2" applyNumberFormat="1" applyFont="1" applyFill="1"/>
    <xf numFmtId="37" fontId="14" fillId="0" borderId="0" xfId="1" applyNumberFormat="1" applyFont="1" applyFill="1" applyAlignment="1">
      <alignment horizontal="center"/>
    </xf>
    <xf numFmtId="165" fontId="14" fillId="0" borderId="14" xfId="1" applyNumberFormat="1" applyFont="1" applyFill="1" applyBorder="1"/>
    <xf numFmtId="165" fontId="11" fillId="0" borderId="0" xfId="1" applyNumberFormat="1" applyFont="1" applyFill="1"/>
    <xf numFmtId="165" fontId="11" fillId="0" borderId="29" xfId="1" applyNumberFormat="1" applyFont="1" applyFill="1" applyBorder="1"/>
    <xf numFmtId="165" fontId="14" fillId="0" borderId="18" xfId="1" applyNumberFormat="1" applyFont="1" applyFill="1" applyBorder="1"/>
    <xf numFmtId="165" fontId="14" fillId="0" borderId="30" xfId="1" applyNumberFormat="1" applyFont="1" applyFill="1" applyBorder="1"/>
    <xf numFmtId="0" fontId="11" fillId="0" borderId="29" xfId="0" applyFont="1" applyFill="1" applyBorder="1"/>
    <xf numFmtId="37" fontId="16" fillId="0" borderId="0" xfId="1" applyNumberFormat="1" applyFont="1" applyFill="1" applyBorder="1"/>
    <xf numFmtId="0" fontId="13" fillId="0" borderId="0" xfId="0" applyFont="1" applyFill="1" applyAlignment="1">
      <alignment horizontal="left"/>
    </xf>
    <xf numFmtId="3" fontId="16" fillId="0" borderId="0" xfId="0" applyNumberFormat="1" applyFont="1" applyFill="1" applyBorder="1"/>
    <xf numFmtId="9" fontId="14" fillId="0" borderId="29" xfId="4" applyFont="1" applyFill="1" applyBorder="1"/>
    <xf numFmtId="3" fontId="14" fillId="0" borderId="32" xfId="0" applyNumberFormat="1" applyFont="1" applyFill="1" applyBorder="1"/>
    <xf numFmtId="3" fontId="11" fillId="0" borderId="32" xfId="0" applyNumberFormat="1" applyFont="1" applyFill="1" applyBorder="1"/>
    <xf numFmtId="3" fontId="11" fillId="0" borderId="29" xfId="0" applyNumberFormat="1" applyFont="1" applyFill="1" applyBorder="1"/>
    <xf numFmtId="3" fontId="14" fillId="0" borderId="19" xfId="0" applyNumberFormat="1" applyFont="1" applyFill="1" applyBorder="1"/>
    <xf numFmtId="3" fontId="14" fillId="0" borderId="16" xfId="0" applyNumberFormat="1" applyFont="1" applyFill="1" applyBorder="1"/>
    <xf numFmtId="3" fontId="14" fillId="0" borderId="33" xfId="0" applyNumberFormat="1" applyFont="1" applyFill="1" applyBorder="1"/>
    <xf numFmtId="3" fontId="11" fillId="0" borderId="33" xfId="0" applyNumberFormat="1" applyFont="1" applyFill="1" applyBorder="1"/>
    <xf numFmtId="0" fontId="11" fillId="0" borderId="0" xfId="0" applyFont="1" applyFill="1"/>
    <xf numFmtId="164" fontId="14" fillId="0" borderId="0" xfId="0" applyNumberFormat="1" applyFont="1" applyFill="1"/>
    <xf numFmtId="164" fontId="11" fillId="0" borderId="0" xfId="0" applyNumberFormat="1" applyFont="1" applyFill="1"/>
    <xf numFmtId="3" fontId="16" fillId="0" borderId="0" xfId="0" applyNumberFormat="1" applyFont="1" applyFill="1"/>
    <xf numFmtId="165" fontId="14" fillId="0" borderId="0" xfId="1" applyNumberFormat="1" applyFont="1" applyFill="1" applyAlignment="1">
      <alignment horizontal="right"/>
    </xf>
    <xf numFmtId="3" fontId="11" fillId="0" borderId="0" xfId="0" applyNumberFormat="1" applyFont="1" applyFill="1"/>
    <xf numFmtId="0" fontId="14" fillId="0" borderId="0" xfId="1" applyNumberFormat="1" applyFont="1" applyFill="1"/>
    <xf numFmtId="0" fontId="13" fillId="0" borderId="0" xfId="0" applyFont="1" applyFill="1" applyAlignment="1">
      <alignment horizontal="right"/>
    </xf>
    <xf numFmtId="165" fontId="13" fillId="0" borderId="0" xfId="1" applyNumberFormat="1" applyFont="1" applyFill="1" applyBorder="1"/>
    <xf numFmtId="164" fontId="14" fillId="0" borderId="29" xfId="0" applyNumberFormat="1" applyFont="1" applyFill="1" applyBorder="1"/>
    <xf numFmtId="16" fontId="13" fillId="0" borderId="0" xfId="0" quotePrefix="1" applyNumberFormat="1" applyFont="1"/>
    <xf numFmtId="166" fontId="14" fillId="0" borderId="14" xfId="0" applyNumberFormat="1" applyFont="1" applyBorder="1"/>
    <xf numFmtId="0" fontId="14" fillId="0" borderId="14" xfId="0" applyFont="1" applyBorder="1"/>
    <xf numFmtId="165" fontId="14" fillId="0" borderId="14" xfId="0" applyNumberFormat="1" applyFont="1" applyFill="1" applyBorder="1"/>
    <xf numFmtId="165" fontId="14" fillId="0" borderId="0" xfId="0" applyNumberFormat="1" applyFont="1" applyFill="1" applyBorder="1"/>
    <xf numFmtId="10" fontId="0" fillId="0" borderId="0" xfId="4" applyNumberFormat="1" applyFont="1"/>
    <xf numFmtId="165" fontId="35" fillId="0" borderId="6" xfId="1" applyNumberFormat="1" applyFont="1" applyFill="1" applyBorder="1"/>
    <xf numFmtId="9" fontId="14" fillId="0" borderId="0" xfId="4" applyFont="1" applyFill="1" applyBorder="1"/>
    <xf numFmtId="0" fontId="14" fillId="0" borderId="9" xfId="0" applyFont="1" applyFill="1" applyBorder="1"/>
    <xf numFmtId="165" fontId="14" fillId="0" borderId="9" xfId="0" applyNumberFormat="1" applyFont="1" applyFill="1" applyBorder="1"/>
    <xf numFmtId="164" fontId="14" fillId="0" borderId="6" xfId="2" applyNumberFormat="1" applyFont="1" applyFill="1" applyBorder="1"/>
    <xf numFmtId="37" fontId="14" fillId="0" borderId="0" xfId="0" applyNumberFormat="1" applyFont="1" applyFill="1" applyBorder="1"/>
    <xf numFmtId="164" fontId="35" fillId="0" borderId="0" xfId="0" applyNumberFormat="1" applyFont="1" applyFill="1"/>
    <xf numFmtId="164" fontId="14" fillId="0" borderId="0" xfId="0" applyNumberFormat="1" applyFont="1" applyFill="1" applyBorder="1"/>
    <xf numFmtId="164" fontId="14" fillId="0" borderId="9" xfId="0" applyNumberFormat="1" applyFont="1" applyFill="1" applyBorder="1"/>
    <xf numFmtId="164" fontId="14" fillId="0" borderId="2" xfId="0" applyNumberFormat="1" applyFont="1" applyFill="1" applyBorder="1"/>
    <xf numFmtId="167" fontId="14" fillId="0" borderId="0" xfId="4" applyNumberFormat="1" applyFont="1" applyFill="1"/>
    <xf numFmtId="44" fontId="14" fillId="0" borderId="0" xfId="2" applyFont="1" applyFill="1"/>
    <xf numFmtId="0" fontId="11" fillId="0" borderId="16" xfId="0" applyFont="1" applyBorder="1"/>
    <xf numFmtId="164" fontId="0" fillId="0" borderId="16" xfId="2" applyNumberFormat="1" applyFont="1" applyBorder="1"/>
    <xf numFmtId="164" fontId="0" fillId="0" borderId="16" xfId="0" applyNumberFormat="1" applyBorder="1"/>
    <xf numFmtId="0" fontId="14" fillId="0" borderId="0" xfId="0" applyFont="1"/>
    <xf numFmtId="37" fontId="14" fillId="0" borderId="3" xfId="0" applyNumberFormat="1" applyFont="1" applyBorder="1"/>
    <xf numFmtId="0" fontId="45" fillId="0" borderId="0" xfId="0" applyFont="1"/>
    <xf numFmtId="0" fontId="47" fillId="0" borderId="24" xfId="0" applyFont="1" applyBorder="1" applyAlignment="1">
      <alignment horizontal="center"/>
    </xf>
    <xf numFmtId="0" fontId="47" fillId="0" borderId="22" xfId="0" applyFont="1" applyBorder="1" applyAlignment="1">
      <alignment horizontal="center"/>
    </xf>
    <xf numFmtId="0" fontId="48" fillId="0" borderId="33" xfId="0" applyFont="1" applyBorder="1"/>
    <xf numFmtId="0" fontId="48" fillId="0" borderId="17" xfId="0" applyFont="1" applyBorder="1"/>
    <xf numFmtId="4" fontId="48" fillId="0" borderId="17" xfId="0" applyNumberFormat="1" applyFont="1" applyBorder="1" applyAlignment="1">
      <alignment horizontal="right"/>
    </xf>
    <xf numFmtId="4" fontId="48" fillId="0" borderId="15" xfId="0" applyNumberFormat="1" applyFont="1" applyFill="1" applyBorder="1" applyAlignment="1">
      <alignment horizontal="right"/>
    </xf>
    <xf numFmtId="44" fontId="14" fillId="0" borderId="0" xfId="0" applyNumberFormat="1" applyFont="1"/>
    <xf numFmtId="0" fontId="49" fillId="6" borderId="24" xfId="0" applyFont="1" applyFill="1" applyBorder="1" applyAlignment="1">
      <alignment horizontal="center" wrapText="1"/>
    </xf>
    <xf numFmtId="0" fontId="49" fillId="6" borderId="22" xfId="0" applyFont="1" applyFill="1" applyBorder="1" applyAlignment="1">
      <alignment horizontal="center" wrapText="1"/>
    </xf>
    <xf numFmtId="0" fontId="50" fillId="0" borderId="33" xfId="0" applyFont="1" applyBorder="1" applyAlignment="1">
      <alignment wrapText="1"/>
    </xf>
    <xf numFmtId="3" fontId="50" fillId="0" borderId="17" xfId="0" applyNumberFormat="1" applyFont="1" applyBorder="1" applyAlignment="1">
      <alignment horizontal="right" wrapText="1"/>
    </xf>
    <xf numFmtId="3" fontId="50" fillId="0" borderId="17" xfId="0" applyNumberFormat="1" applyFont="1" applyBorder="1" applyAlignment="1">
      <alignment horizontal="right"/>
    </xf>
    <xf numFmtId="0" fontId="11" fillId="0" borderId="0" xfId="0" applyFont="1" applyAlignment="1">
      <alignment horizontal="left"/>
    </xf>
    <xf numFmtId="3" fontId="35" fillId="0" borderId="0" xfId="4" applyNumberFormat="1" applyFont="1"/>
    <xf numFmtId="0" fontId="0" fillId="0" borderId="16" xfId="0" applyBorder="1" applyAlignment="1">
      <alignment horizontal="left"/>
    </xf>
    <xf numFmtId="165" fontId="0" fillId="0" borderId="16" xfId="1" applyNumberFormat="1" applyFont="1" applyBorder="1"/>
    <xf numFmtId="165" fontId="11" fillId="0" borderId="0" xfId="1" applyNumberFormat="1" applyFont="1" applyBorder="1"/>
    <xf numFmtId="9" fontId="11" fillId="0" borderId="0" xfId="4" applyFont="1" applyBorder="1"/>
    <xf numFmtId="9" fontId="11" fillId="0" borderId="0" xfId="4" applyBorder="1"/>
    <xf numFmtId="0" fontId="52" fillId="0" borderId="0" xfId="0" applyFont="1" applyBorder="1" applyAlignment="1">
      <alignment horizontal="center" wrapText="1"/>
    </xf>
    <xf numFmtId="0" fontId="52" fillId="0" borderId="8" xfId="0" applyFont="1" applyBorder="1" applyAlignment="1">
      <alignment horizontal="center" wrapText="1"/>
    </xf>
    <xf numFmtId="0" fontId="13" fillId="0" borderId="5" xfId="0" applyFont="1" applyBorder="1" applyAlignment="1">
      <alignment horizontal="center" wrapText="1"/>
    </xf>
    <xf numFmtId="0" fontId="13" fillId="0" borderId="0" xfId="0" applyFont="1" applyBorder="1" applyAlignment="1">
      <alignment horizontal="center" wrapText="1"/>
    </xf>
    <xf numFmtId="0" fontId="13" fillId="0" borderId="8" xfId="0" applyFont="1" applyBorder="1" applyAlignment="1">
      <alignment horizontal="center" wrapText="1"/>
    </xf>
    <xf numFmtId="0" fontId="13" fillId="0" borderId="0" xfId="0" applyFont="1" applyBorder="1"/>
    <xf numFmtId="165" fontId="52" fillId="0" borderId="0" xfId="1" applyNumberFormat="1" applyFont="1" applyFill="1" applyBorder="1"/>
    <xf numFmtId="165" fontId="52" fillId="0" borderId="8" xfId="1" applyNumberFormat="1" applyFont="1" applyFill="1" applyBorder="1"/>
    <xf numFmtId="165" fontId="13" fillId="0" borderId="5" xfId="1" applyNumberFormat="1" applyFont="1" applyFill="1" applyBorder="1"/>
    <xf numFmtId="165" fontId="13" fillId="0" borderId="8" xfId="1" applyNumberFormat="1" applyFont="1" applyFill="1" applyBorder="1"/>
    <xf numFmtId="0" fontId="13" fillId="0" borderId="0" xfId="0" applyFont="1" applyFill="1" applyBorder="1"/>
    <xf numFmtId="0" fontId="11" fillId="0" borderId="0" xfId="0" applyFont="1" applyFill="1" applyAlignment="1">
      <alignment wrapText="1"/>
    </xf>
    <xf numFmtId="165" fontId="53" fillId="0" borderId="0" xfId="1" applyNumberFormat="1" applyFont="1" applyFill="1" applyBorder="1"/>
    <xf numFmtId="165" fontId="53" fillId="0" borderId="8" xfId="1" applyNumberFormat="1" applyFont="1" applyFill="1" applyBorder="1"/>
    <xf numFmtId="165" fontId="11" fillId="0" borderId="5" xfId="1" applyNumberFormat="1" applyFont="1" applyFill="1" applyBorder="1"/>
    <xf numFmtId="165" fontId="11" fillId="0" borderId="0" xfId="1" applyNumberFormat="1" applyFont="1" applyFill="1" applyBorder="1"/>
    <xf numFmtId="165" fontId="11" fillId="0" borderId="8" xfId="1" applyNumberFormat="1" applyFont="1" applyFill="1" applyBorder="1"/>
    <xf numFmtId="165" fontId="53" fillId="0" borderId="5" xfId="1" applyNumberFormat="1" applyFont="1" applyFill="1" applyBorder="1"/>
    <xf numFmtId="0" fontId="53" fillId="0" borderId="0" xfId="0" applyFont="1" applyFill="1"/>
    <xf numFmtId="0" fontId="17" fillId="0" borderId="0" xfId="0" applyFont="1" applyFill="1"/>
    <xf numFmtId="165" fontId="17" fillId="0" borderId="0" xfId="1" applyNumberFormat="1" applyFont="1" applyFill="1" applyBorder="1"/>
    <xf numFmtId="0" fontId="17" fillId="0" borderId="0" xfId="0" applyFont="1" applyFill="1" applyBorder="1"/>
    <xf numFmtId="165" fontId="17" fillId="0" borderId="8" xfId="1" applyNumberFormat="1" applyFont="1" applyFill="1" applyBorder="1"/>
    <xf numFmtId="165" fontId="52" fillId="0" borderId="6" xfId="1" applyNumberFormat="1" applyFont="1" applyFill="1" applyBorder="1"/>
    <xf numFmtId="165" fontId="52" fillId="0" borderId="1" xfId="1" applyNumberFormat="1" applyFont="1" applyFill="1" applyBorder="1"/>
    <xf numFmtId="165" fontId="13" fillId="0" borderId="7" xfId="1" applyNumberFormat="1" applyFont="1" applyFill="1" applyBorder="1"/>
    <xf numFmtId="165" fontId="13" fillId="0" borderId="6" xfId="1" applyNumberFormat="1" applyFont="1" applyFill="1" applyBorder="1"/>
    <xf numFmtId="165" fontId="13" fillId="0" borderId="1" xfId="1" applyNumberFormat="1" applyFont="1" applyFill="1" applyBorder="1"/>
    <xf numFmtId="165" fontId="53" fillId="0" borderId="9" xfId="1" applyNumberFormat="1" applyFont="1" applyFill="1" applyBorder="1"/>
    <xf numFmtId="165" fontId="53" fillId="0" borderId="4" xfId="1" applyNumberFormat="1" applyFont="1" applyFill="1" applyBorder="1"/>
    <xf numFmtId="0" fontId="53" fillId="0" borderId="5" xfId="0" applyFont="1" applyFill="1" applyBorder="1"/>
    <xf numFmtId="165" fontId="53" fillId="0" borderId="6" xfId="1" applyNumberFormat="1" applyFont="1" applyFill="1" applyBorder="1"/>
    <xf numFmtId="165" fontId="53" fillId="0" borderId="1" xfId="1" applyNumberFormat="1" applyFont="1" applyFill="1" applyBorder="1"/>
    <xf numFmtId="165" fontId="11" fillId="0" borderId="7" xfId="1" applyNumberFormat="1" applyFont="1" applyFill="1" applyBorder="1"/>
    <xf numFmtId="165" fontId="11" fillId="0" borderId="6" xfId="1" applyNumberFormat="1" applyFont="1" applyFill="1" applyBorder="1"/>
    <xf numFmtId="165" fontId="11" fillId="0" borderId="1" xfId="1" applyNumberFormat="1" applyFont="1" applyFill="1" applyBorder="1"/>
    <xf numFmtId="165" fontId="13" fillId="0" borderId="0" xfId="0" applyNumberFormat="1" applyFont="1" applyFill="1" applyBorder="1"/>
    <xf numFmtId="165" fontId="11" fillId="0" borderId="0" xfId="1" applyNumberFormat="1" applyFill="1"/>
    <xf numFmtId="0" fontId="0" fillId="0" borderId="0" xfId="0" applyFill="1"/>
    <xf numFmtId="0" fontId="54" fillId="0" borderId="0" xfId="0" applyFont="1"/>
    <xf numFmtId="6" fontId="54" fillId="0" borderId="0" xfId="0" applyNumberFormat="1" applyFont="1"/>
    <xf numFmtId="8" fontId="54" fillId="0" borderId="0" xfId="0" applyNumberFormat="1" applyFont="1"/>
    <xf numFmtId="6" fontId="11" fillId="0" borderId="0" xfId="0" applyNumberFormat="1" applyFont="1"/>
    <xf numFmtId="8" fontId="11" fillId="0" borderId="0" xfId="0" applyNumberFormat="1" applyFont="1"/>
    <xf numFmtId="0" fontId="14" fillId="0" borderId="0" xfId="0" applyFont="1"/>
    <xf numFmtId="0" fontId="0" fillId="0" borderId="0" xfId="0" applyFont="1"/>
    <xf numFmtId="0" fontId="43" fillId="0" borderId="0" xfId="0" applyFont="1"/>
    <xf numFmtId="37" fontId="11" fillId="4" borderId="0" xfId="0" applyNumberFormat="1" applyFont="1" applyFill="1" applyBorder="1"/>
    <xf numFmtId="164" fontId="11" fillId="4" borderId="0" xfId="2" applyNumberFormat="1" applyFont="1" applyFill="1" applyBorder="1"/>
    <xf numFmtId="167" fontId="0" fillId="0" borderId="16" xfId="4" applyNumberFormat="1" applyFont="1" applyBorder="1"/>
    <xf numFmtId="0" fontId="14" fillId="0" borderId="0" xfId="0" applyFont="1"/>
    <xf numFmtId="164" fontId="58" fillId="0" borderId="0" xfId="2" applyNumberFormat="1" applyFont="1"/>
    <xf numFmtId="164" fontId="58" fillId="0" borderId="10" xfId="0" applyNumberFormat="1" applyFont="1" applyBorder="1"/>
    <xf numFmtId="164" fontId="14" fillId="0" borderId="3" xfId="2" applyNumberFormat="1" applyFont="1" applyBorder="1"/>
    <xf numFmtId="16" fontId="11" fillId="0" borderId="9" xfId="0" quotePrefix="1" applyNumberFormat="1" applyFont="1" applyBorder="1"/>
    <xf numFmtId="0" fontId="0" fillId="0" borderId="8" xfId="0" applyBorder="1"/>
    <xf numFmtId="0" fontId="0" fillId="0" borderId="4" xfId="0" applyBorder="1"/>
    <xf numFmtId="167" fontId="11" fillId="0" borderId="9" xfId="4" applyNumberFormat="1" applyBorder="1"/>
    <xf numFmtId="0" fontId="0" fillId="0" borderId="34" xfId="0" applyBorder="1"/>
    <xf numFmtId="16" fontId="13" fillId="0" borderId="2" xfId="0" quotePrefix="1" applyNumberFormat="1" applyFont="1" applyBorder="1" applyAlignment="1">
      <alignment horizontal="center"/>
    </xf>
    <xf numFmtId="165" fontId="0" fillId="0" borderId="2" xfId="1" applyNumberFormat="1" applyFont="1" applyBorder="1" applyAlignment="1">
      <alignment horizontal="center"/>
    </xf>
    <xf numFmtId="3" fontId="0" fillId="0" borderId="0" xfId="0" applyNumberFormat="1" applyBorder="1"/>
    <xf numFmtId="165" fontId="0" fillId="0" borderId="42" xfId="1" applyNumberFormat="1" applyFont="1" applyBorder="1" applyAlignment="1">
      <alignment horizontal="center"/>
    </xf>
    <xf numFmtId="10" fontId="11" fillId="0" borderId="0" xfId="0" applyNumberFormat="1" applyFont="1" applyFill="1" applyAlignment="1">
      <alignment horizontal="center"/>
    </xf>
    <xf numFmtId="167" fontId="11" fillId="0" borderId="0" xfId="0" applyNumberFormat="1" applyFont="1" applyFill="1" applyAlignment="1">
      <alignment horizontal="center"/>
    </xf>
    <xf numFmtId="0" fontId="11" fillId="0" borderId="0" xfId="0" applyFont="1" applyFill="1" applyAlignment="1">
      <alignment horizontal="center"/>
    </xf>
    <xf numFmtId="44" fontId="11" fillId="0" borderId="0" xfId="2" applyFont="1" applyFill="1" applyAlignment="1">
      <alignment horizontal="center"/>
    </xf>
    <xf numFmtId="9" fontId="11" fillId="0" borderId="0" xfId="2" applyNumberFormat="1" applyFont="1" applyFill="1" applyAlignment="1">
      <alignment horizontal="center"/>
    </xf>
    <xf numFmtId="0" fontId="14" fillId="0" borderId="0" xfId="0" applyFont="1"/>
    <xf numFmtId="0" fontId="14" fillId="0" borderId="0" xfId="0" applyFont="1"/>
    <xf numFmtId="0" fontId="14" fillId="4" borderId="0" xfId="0" applyFont="1" applyFill="1"/>
    <xf numFmtId="0" fontId="13" fillId="0" borderId="0" xfId="0" quotePrefix="1" applyFont="1" applyFill="1" applyBorder="1" applyAlignment="1">
      <alignment horizontal="center"/>
    </xf>
    <xf numFmtId="0" fontId="13" fillId="0" borderId="20" xfId="0" quotePrefix="1" applyFont="1" applyFill="1" applyBorder="1" applyAlignment="1">
      <alignment horizontal="center"/>
    </xf>
    <xf numFmtId="0" fontId="14" fillId="0" borderId="14" xfId="0" applyFont="1" applyFill="1" applyBorder="1"/>
    <xf numFmtId="3" fontId="14" fillId="0" borderId="52" xfId="0" applyNumberFormat="1" applyFont="1" applyFill="1" applyBorder="1"/>
    <xf numFmtId="0" fontId="11" fillId="0" borderId="6" xfId="0" applyFont="1" applyBorder="1"/>
    <xf numFmtId="0" fontId="13" fillId="0" borderId="34" xfId="0" applyFont="1" applyFill="1" applyBorder="1" applyAlignment="1">
      <alignment horizontal="center"/>
    </xf>
    <xf numFmtId="165" fontId="11" fillId="0" borderId="15" xfId="1" applyNumberFormat="1" applyFill="1" applyBorder="1"/>
    <xf numFmtId="0" fontId="35" fillId="0" borderId="14" xfId="0" applyFont="1" applyBorder="1"/>
    <xf numFmtId="164" fontId="0" fillId="0" borderId="53" xfId="0" applyNumberFormat="1" applyBorder="1"/>
    <xf numFmtId="164" fontId="14" fillId="0" borderId="53" xfId="0" applyNumberFormat="1" applyFont="1" applyBorder="1"/>
    <xf numFmtId="164" fontId="0" fillId="0" borderId="17" xfId="0" applyNumberFormat="1" applyBorder="1"/>
    <xf numFmtId="16" fontId="13" fillId="0" borderId="55" xfId="0" quotePrefix="1" applyNumberFormat="1" applyFont="1" applyBorder="1" applyAlignment="1">
      <alignment horizontal="center"/>
    </xf>
    <xf numFmtId="0" fontId="13" fillId="0" borderId="55" xfId="0" quotePrefix="1" applyFont="1" applyBorder="1" applyAlignment="1">
      <alignment horizontal="center"/>
    </xf>
    <xf numFmtId="0" fontId="13" fillId="0" borderId="55" xfId="0" quotePrefix="1" applyFont="1" applyFill="1" applyBorder="1" applyAlignment="1">
      <alignment horizontal="center"/>
    </xf>
    <xf numFmtId="0" fontId="13" fillId="0" borderId="54" xfId="0" applyFont="1" applyFill="1" applyBorder="1" applyAlignment="1">
      <alignment horizontal="center"/>
    </xf>
    <xf numFmtId="165" fontId="0" fillId="0" borderId="0" xfId="1" applyNumberFormat="1" applyFont="1" applyFill="1" applyBorder="1" applyAlignment="1">
      <alignment horizontal="left"/>
    </xf>
    <xf numFmtId="165" fontId="0" fillId="0" borderId="34" xfId="1" applyNumberFormat="1" applyFont="1" applyBorder="1"/>
    <xf numFmtId="0" fontId="13" fillId="0" borderId="13" xfId="0" applyFont="1" applyBorder="1" applyAlignment="1">
      <alignment horizontal="center" wrapText="1"/>
    </xf>
    <xf numFmtId="0" fontId="13" fillId="0" borderId="17" xfId="0" applyFont="1" applyBorder="1" applyAlignment="1">
      <alignment horizontal="center" wrapText="1"/>
    </xf>
    <xf numFmtId="0" fontId="11" fillId="0" borderId="33" xfId="0" applyFont="1" applyBorder="1"/>
    <xf numFmtId="0" fontId="13" fillId="0" borderId="23" xfId="0" applyFont="1" applyBorder="1" applyAlignment="1">
      <alignment horizontal="right"/>
    </xf>
    <xf numFmtId="0" fontId="11" fillId="0" borderId="23" xfId="0" applyFont="1" applyBorder="1"/>
    <xf numFmtId="0" fontId="11" fillId="0" borderId="24" xfId="0" applyFont="1" applyBorder="1"/>
    <xf numFmtId="0" fontId="13" fillId="0" borderId="33" xfId="0" applyFont="1" applyBorder="1" applyAlignment="1">
      <alignment horizontal="right"/>
    </xf>
    <xf numFmtId="0" fontId="13" fillId="0" borderId="33" xfId="0" applyFont="1" applyBorder="1"/>
    <xf numFmtId="3" fontId="11" fillId="0" borderId="17" xfId="0" applyNumberFormat="1" applyFont="1" applyBorder="1"/>
    <xf numFmtId="3" fontId="11" fillId="4" borderId="17" xfId="0" applyNumberFormat="1" applyFont="1" applyFill="1" applyBorder="1"/>
    <xf numFmtId="3" fontId="13" fillId="0" borderId="17" xfId="0" applyNumberFormat="1" applyFont="1" applyBorder="1"/>
    <xf numFmtId="3" fontId="13" fillId="0" borderId="15" xfId="0" applyNumberFormat="1" applyFont="1" applyBorder="1"/>
    <xf numFmtId="3" fontId="13" fillId="0" borderId="22" xfId="0" applyNumberFormat="1" applyFont="1" applyBorder="1"/>
    <xf numFmtId="37" fontId="11" fillId="0" borderId="0" xfId="0" applyNumberFormat="1" applyFont="1" applyBorder="1"/>
    <xf numFmtId="164" fontId="11" fillId="0" borderId="5" xfId="0" applyNumberFormat="1" applyFont="1" applyBorder="1"/>
    <xf numFmtId="0" fontId="62" fillId="0" borderId="0" xfId="0" applyFont="1"/>
    <xf numFmtId="10" fontId="62" fillId="0" borderId="0" xfId="0" applyNumberFormat="1" applyFont="1" applyFill="1" applyAlignment="1">
      <alignment horizontal="center"/>
    </xf>
    <xf numFmtId="167" fontId="62" fillId="0" borderId="0" xfId="0" applyNumberFormat="1" applyFont="1" applyFill="1" applyAlignment="1">
      <alignment horizontal="center"/>
    </xf>
    <xf numFmtId="43" fontId="62" fillId="0" borderId="0" xfId="1" applyFont="1"/>
    <xf numFmtId="0" fontId="62" fillId="0" borderId="0" xfId="0" applyFont="1" applyAlignment="1">
      <alignment horizontal="center"/>
    </xf>
    <xf numFmtId="0" fontId="62" fillId="0" borderId="9" xfId="0" applyFont="1" applyBorder="1" applyAlignment="1">
      <alignment horizontal="center"/>
    </xf>
    <xf numFmtId="43" fontId="62" fillId="0" borderId="9" xfId="1" applyFont="1" applyBorder="1" applyAlignment="1">
      <alignment horizontal="center"/>
    </xf>
    <xf numFmtId="43" fontId="62" fillId="0" borderId="9" xfId="1" applyFont="1" applyFill="1" applyBorder="1" applyAlignment="1">
      <alignment horizontal="center"/>
    </xf>
    <xf numFmtId="165" fontId="62" fillId="0" borderId="0" xfId="1" applyNumberFormat="1" applyFont="1"/>
    <xf numFmtId="9" fontId="62" fillId="0" borderId="0" xfId="4" applyFont="1"/>
    <xf numFmtId="165" fontId="62" fillId="0" borderId="0" xfId="0" applyNumberFormat="1" applyFont="1"/>
    <xf numFmtId="9" fontId="62" fillId="0" borderId="0" xfId="4" applyNumberFormat="1" applyFont="1"/>
    <xf numFmtId="3" fontId="62" fillId="0" borderId="0" xfId="4" applyNumberFormat="1" applyFont="1"/>
    <xf numFmtId="165" fontId="62" fillId="0" borderId="6" xfId="1" applyNumberFormat="1" applyFont="1" applyBorder="1"/>
    <xf numFmtId="9" fontId="62" fillId="0" borderId="6" xfId="4" applyFont="1" applyBorder="1"/>
    <xf numFmtId="165" fontId="62" fillId="0" borderId="6" xfId="0" applyNumberFormat="1" applyFont="1" applyBorder="1"/>
    <xf numFmtId="3" fontId="62" fillId="0" borderId="6" xfId="4" applyNumberFormat="1" applyFont="1" applyBorder="1"/>
    <xf numFmtId="0" fontId="62" fillId="0" borderId="0" xfId="0" applyFont="1" applyFill="1" applyAlignment="1">
      <alignment wrapText="1"/>
    </xf>
    <xf numFmtId="165" fontId="62" fillId="0" borderId="5" xfId="1" applyNumberFormat="1" applyFont="1" applyFill="1" applyBorder="1"/>
    <xf numFmtId="165" fontId="62" fillId="0" borderId="0" xfId="1" applyNumberFormat="1" applyFont="1" applyFill="1" applyBorder="1"/>
    <xf numFmtId="165" fontId="62" fillId="0" borderId="8" xfId="1" applyNumberFormat="1" applyFont="1" applyFill="1" applyBorder="1"/>
    <xf numFmtId="0" fontId="62" fillId="0" borderId="0" xfId="0" applyFont="1" applyFill="1"/>
    <xf numFmtId="0" fontId="62" fillId="0" borderId="0" xfId="0" applyFont="1" applyFill="1" applyBorder="1"/>
    <xf numFmtId="0" fontId="62" fillId="0" borderId="8" xfId="0" applyFont="1" applyFill="1" applyBorder="1"/>
    <xf numFmtId="165" fontId="62" fillId="0" borderId="0" xfId="0" applyNumberFormat="1" applyFont="1" applyFill="1" applyBorder="1"/>
    <xf numFmtId="165" fontId="62" fillId="0" borderId="7" xfId="1" applyNumberFormat="1" applyFont="1" applyFill="1" applyBorder="1"/>
    <xf numFmtId="165" fontId="62" fillId="0" borderId="6" xfId="1" applyNumberFormat="1" applyFont="1" applyFill="1" applyBorder="1"/>
    <xf numFmtId="165" fontId="62" fillId="0" borderId="1" xfId="1" applyNumberFormat="1" applyFont="1" applyFill="1" applyBorder="1"/>
    <xf numFmtId="0" fontId="13" fillId="0" borderId="1" xfId="0" applyFont="1" applyBorder="1"/>
    <xf numFmtId="0" fontId="13" fillId="0" borderId="2" xfId="0" applyFont="1" applyBorder="1" applyAlignment="1">
      <alignment horizontal="center"/>
    </xf>
    <xf numFmtId="0" fontId="13" fillId="0" borderId="2" xfId="0" applyFont="1" applyFill="1" applyBorder="1" applyAlignment="1">
      <alignment horizontal="center"/>
    </xf>
    <xf numFmtId="0" fontId="13" fillId="0" borderId="3" xfId="0" applyFont="1" applyBorder="1" applyAlignment="1">
      <alignment horizontal="center"/>
    </xf>
    <xf numFmtId="0" fontId="13" fillId="0" borderId="4" xfId="0" applyFont="1" applyBorder="1"/>
    <xf numFmtId="164" fontId="13" fillId="0" borderId="2" xfId="0" applyNumberFormat="1" applyFont="1" applyBorder="1"/>
    <xf numFmtId="164" fontId="13" fillId="0" borderId="3" xfId="0" applyNumberFormat="1" applyFont="1" applyBorder="1"/>
    <xf numFmtId="0" fontId="14" fillId="0" borderId="0" xfId="0" applyFont="1"/>
    <xf numFmtId="167" fontId="14" fillId="0" borderId="0" xfId="4" applyNumberFormat="1" applyFont="1" applyFill="1" applyBorder="1"/>
    <xf numFmtId="165" fontId="0" fillId="0" borderId="7" xfId="1" applyNumberFormat="1" applyFont="1" applyBorder="1"/>
    <xf numFmtId="165" fontId="0" fillId="0" borderId="5" xfId="1" applyNumberFormat="1" applyFont="1" applyBorder="1"/>
    <xf numFmtId="165" fontId="0" fillId="0" borderId="10" xfId="1" applyNumberFormat="1" applyFont="1" applyBorder="1"/>
    <xf numFmtId="167" fontId="0" fillId="0" borderId="5" xfId="4" applyNumberFormat="1" applyFont="1" applyBorder="1"/>
    <xf numFmtId="0" fontId="0" fillId="0" borderId="56" xfId="0" applyBorder="1"/>
    <xf numFmtId="16" fontId="0" fillId="0" borderId="1" xfId="0" quotePrefix="1" applyNumberFormat="1" applyBorder="1"/>
    <xf numFmtId="0" fontId="0" fillId="0" borderId="6" xfId="0" applyBorder="1"/>
    <xf numFmtId="0" fontId="0" fillId="0" borderId="7" xfId="0" applyBorder="1"/>
    <xf numFmtId="0" fontId="43" fillId="0" borderId="8" xfId="0" applyFont="1" applyBorder="1"/>
    <xf numFmtId="0" fontId="43" fillId="0" borderId="0" xfId="0" applyFont="1" applyBorder="1"/>
    <xf numFmtId="0" fontId="0" fillId="0" borderId="5" xfId="0" applyBorder="1"/>
    <xf numFmtId="44" fontId="57" fillId="0" borderId="8" xfId="2" applyFont="1" applyBorder="1"/>
    <xf numFmtId="8" fontId="57" fillId="0" borderId="0" xfId="0" applyNumberFormat="1" applyFont="1" applyBorder="1"/>
    <xf numFmtId="0" fontId="57" fillId="0" borderId="8" xfId="0" applyFont="1" applyBorder="1"/>
    <xf numFmtId="8" fontId="0" fillId="0" borderId="5" xfId="0" applyNumberFormat="1" applyBorder="1"/>
    <xf numFmtId="8" fontId="0" fillId="0" borderId="8" xfId="0" applyNumberFormat="1" applyFont="1" applyBorder="1"/>
    <xf numFmtId="8" fontId="0" fillId="0" borderId="0" xfId="0" applyNumberFormat="1" applyFont="1" applyBorder="1"/>
    <xf numFmtId="44" fontId="0" fillId="0" borderId="5" xfId="0" applyNumberFormat="1" applyBorder="1"/>
    <xf numFmtId="44" fontId="0" fillId="0" borderId="5" xfId="2" applyFont="1" applyBorder="1"/>
    <xf numFmtId="44" fontId="0" fillId="0" borderId="10" xfId="0" applyNumberFormat="1" applyBorder="1"/>
    <xf numFmtId="16" fontId="43" fillId="0" borderId="1" xfId="0" quotePrefix="1" applyNumberFormat="1" applyFont="1" applyBorder="1"/>
    <xf numFmtId="0" fontId="0" fillId="0" borderId="6" xfId="0" applyFont="1" applyBorder="1"/>
    <xf numFmtId="44" fontId="43" fillId="0" borderId="8" xfId="2" applyFont="1" applyBorder="1"/>
    <xf numFmtId="8" fontId="43" fillId="0" borderId="0" xfId="0" applyNumberFormat="1" applyFont="1" applyBorder="1"/>
    <xf numFmtId="0" fontId="0" fillId="0" borderId="8" xfId="0" applyFont="1" applyBorder="1"/>
    <xf numFmtId="0" fontId="0" fillId="0" borderId="0" xfId="0" applyFont="1" applyBorder="1"/>
    <xf numFmtId="0" fontId="63" fillId="0" borderId="18" xfId="0" applyFont="1" applyBorder="1"/>
    <xf numFmtId="0" fontId="11" fillId="0" borderId="9" xfId="0" applyFont="1" applyBorder="1"/>
    <xf numFmtId="37" fontId="13" fillId="0" borderId="9" xfId="0" applyNumberFormat="1" applyFont="1" applyBorder="1"/>
    <xf numFmtId="164" fontId="11" fillId="0" borderId="0" xfId="2" applyNumberFormat="1" applyFont="1"/>
    <xf numFmtId="0" fontId="64" fillId="0" borderId="23" xfId="0" applyFont="1" applyBorder="1"/>
    <xf numFmtId="0" fontId="12" fillId="0" borderId="23" xfId="0" applyFont="1" applyBorder="1"/>
    <xf numFmtId="0" fontId="12" fillId="0" borderId="29" xfId="0" applyFont="1" applyBorder="1"/>
    <xf numFmtId="0" fontId="12" fillId="0" borderId="23" xfId="0" applyFont="1" applyBorder="1" applyAlignment="1">
      <alignment horizontal="left"/>
    </xf>
    <xf numFmtId="0" fontId="12" fillId="0" borderId="29" xfId="0" applyFont="1" applyBorder="1" applyAlignment="1">
      <alignment horizontal="left"/>
    </xf>
    <xf numFmtId="0" fontId="12" fillId="0" borderId="8" xfId="0" applyFont="1" applyBorder="1"/>
    <xf numFmtId="164" fontId="12" fillId="0" borderId="12" xfId="2" applyNumberFormat="1" applyFont="1" applyBorder="1" applyAlignment="1">
      <alignment horizontal="right"/>
    </xf>
    <xf numFmtId="164" fontId="12" fillId="0" borderId="0" xfId="2" applyNumberFormat="1" applyFont="1" applyAlignment="1">
      <alignment horizontal="right"/>
    </xf>
    <xf numFmtId="164" fontId="65" fillId="0" borderId="0" xfId="2" applyNumberFormat="1" applyFont="1" applyAlignment="1">
      <alignment horizontal="right"/>
    </xf>
    <xf numFmtId="0" fontId="66" fillId="0" borderId="24" xfId="0" applyFont="1" applyBorder="1"/>
    <xf numFmtId="0" fontId="67" fillId="0" borderId="22" xfId="0" applyFont="1" applyBorder="1" applyAlignment="1">
      <alignment horizontal="center"/>
    </xf>
    <xf numFmtId="0" fontId="66" fillId="0" borderId="33" xfId="0" applyFont="1" applyBorder="1"/>
    <xf numFmtId="0" fontId="66" fillId="0" borderId="17" xfId="0" applyFont="1" applyBorder="1"/>
    <xf numFmtId="0" fontId="66" fillId="0" borderId="33" xfId="0" applyFont="1" applyBorder="1" applyAlignment="1">
      <alignment horizontal="center"/>
    </xf>
    <xf numFmtId="0" fontId="67" fillId="0" borderId="33" xfId="0" applyFont="1" applyBorder="1" applyAlignment="1">
      <alignment horizontal="center"/>
    </xf>
    <xf numFmtId="164" fontId="66" fillId="0" borderId="17" xfId="2" applyNumberFormat="1" applyFont="1" applyBorder="1"/>
    <xf numFmtId="0" fontId="14" fillId="0" borderId="0" xfId="0" applyFont="1"/>
    <xf numFmtId="165" fontId="11" fillId="0" borderId="0" xfId="1" applyNumberFormat="1" applyFont="1" applyFill="1" applyBorder="1" applyAlignment="1">
      <alignment horizontal="left"/>
    </xf>
    <xf numFmtId="0" fontId="68" fillId="0" borderId="23" xfId="0" applyFont="1" applyBorder="1"/>
    <xf numFmtId="4" fontId="68" fillId="0" borderId="12" xfId="0" applyNumberFormat="1" applyFont="1" applyBorder="1" applyAlignment="1">
      <alignment horizontal="right"/>
    </xf>
    <xf numFmtId="0" fontId="69" fillId="0" borderId="23" xfId="0" applyFont="1" applyBorder="1" applyAlignment="1">
      <alignment horizontal="center"/>
    </xf>
    <xf numFmtId="0" fontId="69" fillId="0" borderId="13" xfId="0" applyFont="1" applyBorder="1"/>
    <xf numFmtId="4" fontId="69" fillId="0" borderId="12" xfId="0" applyNumberFormat="1" applyFont="1" applyBorder="1" applyAlignment="1">
      <alignment horizontal="right"/>
    </xf>
    <xf numFmtId="0" fontId="69" fillId="0" borderId="23" xfId="0" applyFont="1" applyBorder="1"/>
    <xf numFmtId="0" fontId="68" fillId="0" borderId="29" xfId="0" applyFont="1" applyBorder="1"/>
    <xf numFmtId="0" fontId="68" fillId="0" borderId="0" xfId="0" applyFont="1"/>
    <xf numFmtId="0" fontId="69" fillId="0" borderId="29" xfId="0" applyFont="1" applyBorder="1" applyAlignment="1">
      <alignment horizontal="center"/>
    </xf>
    <xf numFmtId="0" fontId="69" fillId="0" borderId="15" xfId="0" applyFont="1" applyBorder="1"/>
    <xf numFmtId="4" fontId="69" fillId="0" borderId="0" xfId="0" applyNumberFormat="1" applyFont="1" applyAlignment="1">
      <alignment horizontal="right"/>
    </xf>
    <xf numFmtId="0" fontId="69" fillId="0" borderId="29" xfId="0" applyFont="1" applyBorder="1"/>
    <xf numFmtId="0" fontId="68" fillId="0" borderId="33" xfId="0" applyFont="1" applyBorder="1"/>
    <xf numFmtId="0" fontId="68" fillId="0" borderId="16" xfId="0" applyFont="1" applyBorder="1"/>
    <xf numFmtId="0" fontId="69" fillId="0" borderId="33" xfId="0" applyFont="1" applyBorder="1" applyAlignment="1">
      <alignment horizontal="center"/>
    </xf>
    <xf numFmtId="0" fontId="69" fillId="0" borderId="17" xfId="0" applyFont="1" applyBorder="1"/>
    <xf numFmtId="4" fontId="70" fillId="0" borderId="16" xfId="0" applyNumberFormat="1" applyFont="1" applyBorder="1" applyAlignment="1">
      <alignment horizontal="right"/>
    </xf>
    <xf numFmtId="0" fontId="69" fillId="0" borderId="33" xfId="0" applyFont="1" applyBorder="1"/>
    <xf numFmtId="4" fontId="68" fillId="0" borderId="0" xfId="0" applyNumberFormat="1" applyFont="1" applyAlignment="1">
      <alignment horizontal="right"/>
    </xf>
    <xf numFmtId="0" fontId="69" fillId="0" borderId="0" xfId="0" applyFont="1" applyAlignment="1">
      <alignment horizontal="right"/>
    </xf>
    <xf numFmtId="0" fontId="69" fillId="0" borderId="0" xfId="0" applyFont="1"/>
    <xf numFmtId="4" fontId="69" fillId="0" borderId="29" xfId="0" applyNumberFormat="1" applyFont="1" applyBorder="1" applyAlignment="1">
      <alignment horizontal="right"/>
    </xf>
    <xf numFmtId="4" fontId="71" fillId="0" borderId="0" xfId="0" applyNumberFormat="1" applyFont="1" applyAlignment="1">
      <alignment horizontal="right"/>
    </xf>
    <xf numFmtId="4" fontId="69" fillId="0" borderId="15" xfId="0" applyNumberFormat="1" applyFont="1" applyBorder="1" applyAlignment="1">
      <alignment horizontal="right"/>
    </xf>
    <xf numFmtId="0" fontId="72" fillId="0" borderId="16" xfId="0" applyFont="1" applyBorder="1" applyAlignment="1">
      <alignment horizontal="right"/>
    </xf>
    <xf numFmtId="0" fontId="73" fillId="0" borderId="0" xfId="0" applyFont="1"/>
    <xf numFmtId="0" fontId="14" fillId="0" borderId="0" xfId="0" applyFont="1"/>
    <xf numFmtId="0" fontId="63" fillId="0" borderId="0" xfId="0" applyFont="1"/>
    <xf numFmtId="0" fontId="74" fillId="6" borderId="21" xfId="0" applyFont="1" applyFill="1" applyBorder="1" applyAlignment="1">
      <alignment horizontal="center" wrapText="1"/>
    </xf>
    <xf numFmtId="0" fontId="71" fillId="0" borderId="0" xfId="0" applyFont="1" applyAlignment="1">
      <alignment wrapText="1"/>
    </xf>
    <xf numFmtId="3" fontId="71" fillId="0" borderId="0" xfId="0" applyNumberFormat="1" applyFont="1" applyAlignment="1">
      <alignment horizontal="center" wrapText="1"/>
    </xf>
    <xf numFmtId="0" fontId="75" fillId="0" borderId="0" xfId="0" applyFont="1"/>
    <xf numFmtId="0" fontId="0" fillId="0" borderId="9" xfId="0" applyBorder="1" applyAlignment="1">
      <alignment horizontal="left"/>
    </xf>
    <xf numFmtId="3" fontId="71" fillId="0" borderId="9" xfId="0" applyNumberFormat="1" applyFont="1" applyBorder="1" applyAlignment="1">
      <alignment horizontal="center" wrapText="1"/>
    </xf>
    <xf numFmtId="3" fontId="0" fillId="0" borderId="9" xfId="0" applyNumberFormat="1" applyBorder="1"/>
    <xf numFmtId="0" fontId="14" fillId="0" borderId="0" xfId="0" applyFont="1"/>
    <xf numFmtId="0" fontId="11" fillId="0" borderId="0" xfId="1" applyNumberFormat="1" applyFont="1"/>
    <xf numFmtId="0" fontId="14" fillId="0" borderId="0" xfId="0" applyFont="1"/>
    <xf numFmtId="165" fontId="11" fillId="0" borderId="8" xfId="1" applyNumberFormat="1" applyFont="1" applyBorder="1"/>
    <xf numFmtId="164" fontId="14" fillId="0" borderId="0" xfId="0" applyNumberFormat="1" applyFont="1" applyAlignment="1">
      <alignment horizontal="center"/>
    </xf>
    <xf numFmtId="43" fontId="0" fillId="0" borderId="0" xfId="1" applyFont="1" applyFill="1" applyBorder="1"/>
    <xf numFmtId="0" fontId="64" fillId="0" borderId="23" xfId="0" applyFont="1" applyBorder="1" applyAlignment="1">
      <alignment vertical="center"/>
    </xf>
    <xf numFmtId="4" fontId="64" fillId="0" borderId="12" xfId="0" applyNumberFormat="1" applyFont="1" applyBorder="1" applyAlignment="1">
      <alignment horizontal="right" vertical="center"/>
    </xf>
    <xf numFmtId="0" fontId="12" fillId="0" borderId="23" xfId="0" applyFont="1" applyBorder="1" applyAlignment="1">
      <alignment horizontal="center" vertical="center"/>
    </xf>
    <xf numFmtId="0" fontId="12" fillId="0" borderId="13" xfId="0" applyFont="1" applyBorder="1" applyAlignment="1">
      <alignment vertical="center"/>
    </xf>
    <xf numFmtId="0" fontId="12" fillId="0" borderId="23" xfId="0" applyFont="1" applyBorder="1" applyAlignment="1">
      <alignment vertical="center"/>
    </xf>
    <xf numFmtId="0" fontId="12" fillId="0" borderId="29" xfId="0" applyFont="1" applyBorder="1" applyAlignment="1">
      <alignment vertical="center"/>
    </xf>
    <xf numFmtId="0" fontId="64" fillId="0" borderId="0" xfId="0" applyFont="1" applyAlignment="1">
      <alignment vertical="center"/>
    </xf>
    <xf numFmtId="0" fontId="12" fillId="0" borderId="29" xfId="0" applyFont="1" applyBorder="1" applyAlignment="1">
      <alignment horizontal="center" vertical="center"/>
    </xf>
    <xf numFmtId="0" fontId="12" fillId="0" borderId="15" xfId="0" applyFont="1" applyBorder="1" applyAlignment="1">
      <alignment vertical="center"/>
    </xf>
    <xf numFmtId="4" fontId="12" fillId="0" borderId="0" xfId="0" applyNumberFormat="1" applyFont="1" applyAlignment="1">
      <alignment horizontal="right" vertical="center"/>
    </xf>
    <xf numFmtId="0" fontId="77" fillId="0" borderId="0" xfId="0" applyFont="1"/>
    <xf numFmtId="0" fontId="37" fillId="0" borderId="0" xfId="0" applyFont="1" applyAlignment="1">
      <alignment vertical="center"/>
    </xf>
    <xf numFmtId="0" fontId="64" fillId="0" borderId="29" xfId="0" applyFont="1" applyBorder="1" applyAlignment="1">
      <alignment vertical="center"/>
    </xf>
    <xf numFmtId="0" fontId="64" fillId="0" borderId="33" xfId="0" applyFont="1" applyBorder="1" applyAlignment="1">
      <alignment vertical="center"/>
    </xf>
    <xf numFmtId="0" fontId="64" fillId="0" borderId="16" xfId="0" applyFont="1" applyBorder="1" applyAlignment="1">
      <alignment vertical="center"/>
    </xf>
    <xf numFmtId="0" fontId="12" fillId="0" borderId="33" xfId="0" applyFont="1" applyBorder="1" applyAlignment="1">
      <alignment horizontal="center" vertical="center"/>
    </xf>
    <xf numFmtId="0" fontId="12" fillId="0" borderId="17" xfId="0" applyFont="1" applyBorder="1" applyAlignment="1">
      <alignment vertical="center"/>
    </xf>
    <xf numFmtId="0" fontId="12" fillId="0" borderId="33" xfId="0" applyFont="1" applyBorder="1" applyAlignment="1">
      <alignment vertical="center"/>
    </xf>
    <xf numFmtId="4" fontId="64" fillId="0" borderId="0" xfId="0" applyNumberFormat="1" applyFont="1" applyAlignment="1">
      <alignment horizontal="right" vertical="center"/>
    </xf>
    <xf numFmtId="0" fontId="13" fillId="0" borderId="57" xfId="0" applyFont="1" applyBorder="1" applyAlignment="1">
      <alignment horizontal="center"/>
    </xf>
    <xf numFmtId="0" fontId="13" fillId="0" borderId="58" xfId="0" applyFont="1" applyBorder="1" applyAlignment="1">
      <alignment horizontal="center" wrapText="1"/>
    </xf>
    <xf numFmtId="0" fontId="11" fillId="0" borderId="59" xfId="0" applyFont="1" applyBorder="1"/>
    <xf numFmtId="164" fontId="11" fillId="0" borderId="60" xfId="2" applyNumberFormat="1" applyFont="1" applyBorder="1"/>
    <xf numFmtId="0" fontId="11" fillId="0" borderId="46" xfId="0" applyFont="1" applyBorder="1"/>
    <xf numFmtId="0" fontId="0" fillId="0" borderId="46" xfId="0" applyBorder="1"/>
    <xf numFmtId="0" fontId="0" fillId="0" borderId="59" xfId="0" applyBorder="1"/>
    <xf numFmtId="0" fontId="11" fillId="0" borderId="61" xfId="0" applyFont="1" applyFill="1" applyBorder="1"/>
    <xf numFmtId="0" fontId="11" fillId="0" borderId="62" xfId="0" applyFont="1" applyFill="1" applyBorder="1"/>
    <xf numFmtId="0" fontId="13" fillId="0" borderId="63" xfId="0" applyFont="1" applyFill="1" applyBorder="1" applyAlignment="1">
      <alignment horizontal="right"/>
    </xf>
    <xf numFmtId="0" fontId="13" fillId="0" borderId="63" xfId="0" applyFont="1" applyFill="1" applyBorder="1"/>
    <xf numFmtId="0" fontId="12" fillId="0" borderId="0" xfId="0" applyFont="1"/>
    <xf numFmtId="164" fontId="13" fillId="0" borderId="60" xfId="2" applyNumberFormat="1" applyFont="1" applyBorder="1"/>
    <xf numFmtId="0" fontId="13" fillId="0" borderId="64" xfId="0" applyFont="1" applyBorder="1" applyAlignment="1">
      <alignment horizontal="right"/>
    </xf>
    <xf numFmtId="0" fontId="11" fillId="0" borderId="62" xfId="0" applyFont="1" applyBorder="1"/>
    <xf numFmtId="164" fontId="11" fillId="0" borderId="51" xfId="2" applyNumberFormat="1" applyFont="1" applyBorder="1"/>
    <xf numFmtId="164" fontId="13" fillId="0" borderId="65" xfId="2" applyNumberFormat="1" applyFont="1" applyBorder="1"/>
    <xf numFmtId="0" fontId="66" fillId="7" borderId="17" xfId="0" applyFont="1" applyFill="1" applyBorder="1" applyAlignment="1">
      <alignment horizontal="center" vertical="center" wrapText="1"/>
    </xf>
    <xf numFmtId="0" fontId="66" fillId="0" borderId="14" xfId="0" applyFont="1" applyBorder="1" applyAlignment="1">
      <alignment vertical="center"/>
    </xf>
    <xf numFmtId="0" fontId="45" fillId="7" borderId="24" xfId="0" applyFont="1" applyFill="1" applyBorder="1" applyAlignment="1">
      <alignment vertical="center"/>
    </xf>
    <xf numFmtId="0" fontId="66" fillId="0" borderId="19" xfId="0" applyFont="1" applyBorder="1" applyAlignment="1">
      <alignment vertical="center"/>
    </xf>
    <xf numFmtId="0" fontId="45" fillId="7" borderId="33" xfId="0" applyFont="1" applyFill="1" applyBorder="1" applyAlignment="1">
      <alignment vertical="center"/>
    </xf>
    <xf numFmtId="0" fontId="45" fillId="7" borderId="15" xfId="0" applyFont="1" applyFill="1" applyBorder="1" applyAlignment="1">
      <alignment horizontal="center" vertical="center"/>
    </xf>
    <xf numFmtId="0" fontId="67" fillId="0" borderId="19" xfId="0" applyFont="1" applyBorder="1" applyAlignment="1">
      <alignment vertical="center"/>
    </xf>
    <xf numFmtId="16" fontId="66" fillId="7" borderId="15" xfId="0" quotePrefix="1" applyNumberFormat="1" applyFont="1" applyFill="1" applyBorder="1" applyAlignment="1">
      <alignment horizontal="center" vertical="center" wrapText="1"/>
    </xf>
    <xf numFmtId="0" fontId="67" fillId="4" borderId="0" xfId="0" applyFont="1" applyFill="1" applyAlignment="1">
      <alignment vertical="center"/>
    </xf>
    <xf numFmtId="164" fontId="11" fillId="0" borderId="15" xfId="2" applyNumberFormat="1" applyFont="1" applyBorder="1" applyAlignment="1">
      <alignment vertical="center"/>
    </xf>
    <xf numFmtId="164" fontId="67" fillId="0" borderId="24" xfId="0" applyNumberFormat="1" applyFont="1" applyBorder="1" applyAlignment="1">
      <alignment vertical="center"/>
    </xf>
    <xf numFmtId="164" fontId="45" fillId="7" borderId="22" xfId="2" applyNumberFormat="1" applyFont="1" applyFill="1" applyBorder="1" applyAlignment="1">
      <alignment horizontal="center" vertical="center"/>
    </xf>
    <xf numFmtId="164" fontId="78" fillId="0" borderId="15" xfId="2" applyNumberFormat="1" applyFont="1" applyBorder="1" applyAlignment="1">
      <alignment vertical="center"/>
    </xf>
    <xf numFmtId="164" fontId="11" fillId="0" borderId="33" xfId="2" applyNumberFormat="1" applyFont="1" applyBorder="1" applyAlignment="1">
      <alignment vertical="center"/>
    </xf>
    <xf numFmtId="164" fontId="11" fillId="0" borderId="17" xfId="2" applyNumberFormat="1" applyFont="1" applyBorder="1" applyAlignment="1">
      <alignment vertical="center"/>
    </xf>
    <xf numFmtId="3" fontId="13" fillId="0" borderId="20" xfId="0" quotePrefix="1" applyNumberFormat="1" applyFont="1" applyFill="1" applyBorder="1" applyAlignment="1">
      <alignment horizontal="center"/>
    </xf>
    <xf numFmtId="3" fontId="13" fillId="0" borderId="13" xfId="0" applyNumberFormat="1" applyFont="1" applyFill="1" applyBorder="1" applyAlignment="1">
      <alignment horizontal="center"/>
    </xf>
    <xf numFmtId="3" fontId="27" fillId="0" borderId="22" xfId="0" applyNumberFormat="1" applyFont="1" applyFill="1" applyBorder="1" applyAlignment="1">
      <alignment horizontal="center"/>
    </xf>
    <xf numFmtId="0" fontId="14" fillId="0" borderId="15" xfId="0" applyFont="1" applyBorder="1"/>
    <xf numFmtId="166" fontId="14" fillId="0" borderId="15" xfId="0" applyNumberFormat="1" applyFont="1" applyBorder="1"/>
    <xf numFmtId="165" fontId="14" fillId="0" borderId="15" xfId="1" applyNumberFormat="1" applyFont="1" applyBorder="1"/>
    <xf numFmtId="165" fontId="14" fillId="0" borderId="34" xfId="1" applyNumberFormat="1" applyFont="1" applyBorder="1"/>
    <xf numFmtId="164" fontId="14" fillId="0" borderId="66" xfId="2" applyNumberFormat="1" applyFont="1" applyFill="1" applyBorder="1"/>
    <xf numFmtId="165" fontId="14" fillId="0" borderId="15" xfId="1" applyNumberFormat="1" applyFont="1" applyFill="1" applyBorder="1"/>
    <xf numFmtId="0" fontId="14" fillId="0" borderId="15" xfId="0" applyFont="1" applyFill="1" applyBorder="1"/>
    <xf numFmtId="165" fontId="14" fillId="0" borderId="15" xfId="0" applyNumberFormat="1" applyFont="1" applyFill="1" applyBorder="1"/>
    <xf numFmtId="3" fontId="14" fillId="0" borderId="15" xfId="0" applyNumberFormat="1" applyFont="1" applyBorder="1"/>
    <xf numFmtId="164" fontId="14" fillId="0" borderId="15" xfId="2" applyNumberFormat="1" applyFont="1" applyFill="1" applyBorder="1"/>
    <xf numFmtId="0" fontId="14" fillId="0" borderId="0" xfId="0" applyFont="1"/>
    <xf numFmtId="0" fontId="14" fillId="0" borderId="0" xfId="0" applyFont="1"/>
    <xf numFmtId="4" fontId="12" fillId="0" borderId="6" xfId="0" applyNumberFormat="1" applyFont="1" applyFill="1" applyBorder="1"/>
    <xf numFmtId="4" fontId="12" fillId="0" borderId="0" xfId="0" applyNumberFormat="1" applyFont="1" applyFill="1" applyBorder="1"/>
    <xf numFmtId="0" fontId="12" fillId="0" borderId="29" xfId="0" applyFont="1" applyBorder="1" applyAlignment="1">
      <alignment horizontal="left" vertical="center"/>
    </xf>
    <xf numFmtId="0" fontId="12" fillId="0" borderId="15" xfId="0" applyFont="1" applyBorder="1" applyAlignment="1">
      <alignment horizontal="left" vertical="center"/>
    </xf>
    <xf numFmtId="0" fontId="12" fillId="0" borderId="30" xfId="0" applyFont="1" applyBorder="1" applyAlignment="1">
      <alignment horizontal="left" vertical="center"/>
    </xf>
    <xf numFmtId="0" fontId="12" fillId="0" borderId="34" xfId="0" applyFont="1" applyBorder="1" applyAlignment="1">
      <alignment horizontal="left" vertical="center"/>
    </xf>
    <xf numFmtId="4" fontId="12" fillId="0" borderId="34" xfId="0" applyNumberFormat="1" applyFont="1" applyBorder="1" applyAlignment="1">
      <alignment horizontal="right" vertical="center"/>
    </xf>
    <xf numFmtId="0" fontId="12" fillId="0" borderId="0" xfId="0" applyFont="1" applyBorder="1" applyAlignment="1">
      <alignment horizontal="left" vertical="center"/>
    </xf>
    <xf numFmtId="0" fontId="12" fillId="0" borderId="12" xfId="0" applyFont="1" applyBorder="1" applyAlignment="1">
      <alignment vertical="center"/>
    </xf>
    <xf numFmtId="0" fontId="12" fillId="0" borderId="0" xfId="0" applyFont="1" applyBorder="1" applyAlignment="1">
      <alignment vertical="center"/>
    </xf>
    <xf numFmtId="4" fontId="12" fillId="0" borderId="0" xfId="0" applyNumberFormat="1" applyFont="1" applyBorder="1" applyAlignment="1">
      <alignment horizontal="right" vertical="center"/>
    </xf>
    <xf numFmtId="0" fontId="64" fillId="0" borderId="11" xfId="0" applyFont="1" applyFill="1" applyBorder="1"/>
    <xf numFmtId="4" fontId="64" fillId="0" borderId="12" xfId="0" applyNumberFormat="1" applyFont="1" applyFill="1" applyBorder="1"/>
    <xf numFmtId="0" fontId="12" fillId="0" borderId="68" xfId="0" applyFont="1" applyBorder="1"/>
    <xf numFmtId="0" fontId="12" fillId="0" borderId="12" xfId="0" applyFont="1" applyFill="1" applyBorder="1"/>
    <xf numFmtId="0" fontId="12" fillId="0" borderId="13" xfId="0" applyFont="1" applyFill="1" applyBorder="1"/>
    <xf numFmtId="4" fontId="0" fillId="0" borderId="0" xfId="0" applyNumberFormat="1" applyFill="1"/>
    <xf numFmtId="0" fontId="64" fillId="0" borderId="14" xfId="0" applyFont="1" applyFill="1" applyBorder="1"/>
    <xf numFmtId="4" fontId="64" fillId="0" borderId="0" xfId="0" applyNumberFormat="1" applyFont="1" applyFill="1" applyBorder="1"/>
    <xf numFmtId="0" fontId="12" fillId="0" borderId="35" xfId="0" applyFont="1" applyBorder="1"/>
    <xf numFmtId="0" fontId="12" fillId="0" borderId="0" xfId="0" applyFont="1" applyFill="1" applyBorder="1"/>
    <xf numFmtId="0" fontId="12" fillId="0" borderId="15" xfId="0" applyFont="1" applyFill="1" applyBorder="1"/>
    <xf numFmtId="0" fontId="64" fillId="0" borderId="19" xfId="0" applyFont="1" applyFill="1" applyBorder="1"/>
    <xf numFmtId="4" fontId="64" fillId="0" borderId="16" xfId="0" applyNumberFormat="1" applyFont="1" applyFill="1" applyBorder="1"/>
    <xf numFmtId="0" fontId="12" fillId="0" borderId="69" xfId="0" applyFont="1" applyBorder="1"/>
    <xf numFmtId="0" fontId="12" fillId="0" borderId="16" xfId="0" applyFont="1" applyFill="1" applyBorder="1"/>
    <xf numFmtId="0" fontId="12" fillId="0" borderId="17" xfId="0" applyFont="1" applyFill="1" applyBorder="1"/>
    <xf numFmtId="0" fontId="14" fillId="0" borderId="0" xfId="0" applyFont="1"/>
    <xf numFmtId="165" fontId="0" fillId="0" borderId="15" xfId="0" applyNumberFormat="1" applyFill="1" applyBorder="1"/>
    <xf numFmtId="0" fontId="13" fillId="0" borderId="9" xfId="0" applyFont="1" applyFill="1" applyBorder="1" applyAlignment="1">
      <alignment horizontal="center"/>
    </xf>
    <xf numFmtId="0" fontId="14" fillId="0" borderId="0" xfId="0" applyFont="1"/>
    <xf numFmtId="43" fontId="17" fillId="0" borderId="0" xfId="0" applyNumberFormat="1" applyFont="1"/>
    <xf numFmtId="3" fontId="13" fillId="0" borderId="50" xfId="0" quotePrefix="1" applyNumberFormat="1" applyFont="1" applyFill="1" applyBorder="1" applyAlignment="1">
      <alignment horizontal="center"/>
    </xf>
    <xf numFmtId="166" fontId="11" fillId="0" borderId="8" xfId="0" applyNumberFormat="1" applyFont="1" applyBorder="1"/>
    <xf numFmtId="165" fontId="11" fillId="0" borderId="4" xfId="1" applyNumberFormat="1" applyFont="1" applyBorder="1"/>
    <xf numFmtId="164" fontId="11" fillId="0" borderId="70" xfId="2" applyNumberFormat="1" applyFont="1" applyFill="1" applyBorder="1"/>
    <xf numFmtId="3" fontId="11" fillId="0" borderId="8" xfId="0" applyNumberFormat="1" applyFont="1" applyBorder="1"/>
    <xf numFmtId="164" fontId="11" fillId="0" borderId="8" xfId="2" applyNumberFormat="1" applyFont="1" applyFill="1" applyBorder="1"/>
    <xf numFmtId="3" fontId="11" fillId="0" borderId="4" xfId="0" applyNumberFormat="1" applyFont="1" applyBorder="1"/>
    <xf numFmtId="43" fontId="17" fillId="0" borderId="0" xfId="1" applyNumberFormat="1" applyFont="1"/>
    <xf numFmtId="0" fontId="14" fillId="0" borderId="0" xfId="0" applyFont="1"/>
    <xf numFmtId="4" fontId="79" fillId="0" borderId="0" xfId="0" applyNumberFormat="1" applyFont="1" applyBorder="1" applyAlignment="1">
      <alignment horizontal="right" vertical="center"/>
    </xf>
    <xf numFmtId="0" fontId="0" fillId="0" borderId="0" xfId="0" applyBorder="1" applyAlignment="1">
      <alignment horizontal="center"/>
    </xf>
    <xf numFmtId="164" fontId="63" fillId="0" borderId="0" xfId="2" applyNumberFormat="1" applyFont="1"/>
    <xf numFmtId="16" fontId="11" fillId="0" borderId="1" xfId="0" quotePrefix="1" applyNumberFormat="1" applyFont="1" applyBorder="1"/>
    <xf numFmtId="0" fontId="11" fillId="0" borderId="7" xfId="0" applyFont="1" applyBorder="1"/>
    <xf numFmtId="0" fontId="11" fillId="0" borderId="5" xfId="0" applyFont="1" applyBorder="1"/>
    <xf numFmtId="44" fontId="80" fillId="0" borderId="8" xfId="2" applyFont="1" applyBorder="1"/>
    <xf numFmtId="8" fontId="80" fillId="0" borderId="0" xfId="0" applyNumberFormat="1" applyFont="1" applyBorder="1"/>
    <xf numFmtId="0" fontId="80" fillId="0" borderId="8" xfId="0" applyFont="1" applyBorder="1"/>
    <xf numFmtId="8" fontId="11" fillId="0" borderId="5" xfId="0" applyNumberFormat="1" applyFont="1" applyBorder="1"/>
    <xf numFmtId="8" fontId="11" fillId="0" borderId="8" xfId="0" applyNumberFormat="1" applyFont="1" applyBorder="1"/>
    <xf numFmtId="8" fontId="11" fillId="0" borderId="0" xfId="0" applyNumberFormat="1" applyFont="1" applyBorder="1"/>
    <xf numFmtId="0" fontId="11" fillId="0" borderId="0" xfId="9"/>
    <xf numFmtId="44" fontId="11" fillId="0" borderId="5" xfId="0" applyNumberFormat="1" applyFont="1" applyBorder="1"/>
    <xf numFmtId="44" fontId="11" fillId="0" borderId="5" xfId="2" applyFont="1" applyBorder="1"/>
    <xf numFmtId="0" fontId="11" fillId="0" borderId="0" xfId="9" applyFont="1"/>
    <xf numFmtId="44" fontId="11" fillId="0" borderId="10" xfId="0" applyNumberFormat="1" applyFont="1" applyBorder="1"/>
    <xf numFmtId="164" fontId="63" fillId="0" borderId="0" xfId="2" applyNumberFormat="1" applyFont="1" applyAlignment="1">
      <alignment horizontal="right" vertical="center"/>
    </xf>
    <xf numFmtId="164" fontId="63" fillId="0" borderId="0" xfId="2" applyNumberFormat="1" applyFont="1" applyAlignment="1">
      <alignment vertical="center"/>
    </xf>
    <xf numFmtId="0" fontId="14" fillId="0" borderId="0" xfId="0" applyFont="1"/>
    <xf numFmtId="0" fontId="11" fillId="0" borderId="61" xfId="0" applyFont="1" applyBorder="1"/>
    <xf numFmtId="0" fontId="13" fillId="0" borderId="61" xfId="0" applyFont="1" applyBorder="1" applyAlignment="1">
      <alignment horizontal="right"/>
    </xf>
    <xf numFmtId="164" fontId="13" fillId="0" borderId="47" xfId="2" applyNumberFormat="1" applyFont="1" applyBorder="1"/>
    <xf numFmtId="164" fontId="13" fillId="0" borderId="24" xfId="0" applyNumberFormat="1" applyFont="1" applyBorder="1"/>
    <xf numFmtId="44" fontId="13" fillId="0" borderId="49" xfId="0" applyNumberFormat="1" applyFont="1" applyBorder="1" applyAlignment="1">
      <alignment horizontal="center" wrapText="1"/>
    </xf>
    <xf numFmtId="0" fontId="11" fillId="0" borderId="46" xfId="0" applyFont="1" applyBorder="1" applyAlignment="1">
      <alignment horizontal="left"/>
    </xf>
    <xf numFmtId="0" fontId="13" fillId="0" borderId="47" xfId="0" applyFont="1" applyBorder="1" applyAlignment="1">
      <alignment horizontal="center" wrapText="1"/>
    </xf>
    <xf numFmtId="0" fontId="9" fillId="0" borderId="0" xfId="5" applyFont="1"/>
    <xf numFmtId="0" fontId="10" fillId="0" borderId="0" xfId="5"/>
    <xf numFmtId="0" fontId="39" fillId="5" borderId="43" xfId="5" applyFont="1" applyFill="1" applyBorder="1"/>
    <xf numFmtId="16" fontId="9" fillId="5" borderId="45" xfId="5" quotePrefix="1" applyNumberFormat="1" applyFont="1" applyFill="1" applyBorder="1" applyAlignment="1">
      <alignment horizontal="center" wrapText="1"/>
    </xf>
    <xf numFmtId="16" fontId="10" fillId="5" borderId="45" xfId="5" quotePrefix="1" applyNumberFormat="1" applyFill="1" applyBorder="1" applyAlignment="1">
      <alignment horizontal="center"/>
    </xf>
    <xf numFmtId="16" fontId="9" fillId="5" borderId="45" xfId="5" quotePrefix="1" applyNumberFormat="1" applyFont="1" applyFill="1" applyBorder="1" applyAlignment="1">
      <alignment horizontal="center"/>
    </xf>
    <xf numFmtId="0" fontId="10" fillId="0" borderId="14" xfId="5" applyBorder="1"/>
    <xf numFmtId="164" fontId="0" fillId="0" borderId="15" xfId="6" applyNumberFormat="1" applyFont="1" applyBorder="1"/>
    <xf numFmtId="0" fontId="39" fillId="5" borderId="46" xfId="5" applyFont="1" applyFill="1" applyBorder="1"/>
    <xf numFmtId="16" fontId="10" fillId="5" borderId="47" xfId="5" quotePrefix="1" applyNumberFormat="1" applyFill="1" applyBorder="1" applyAlignment="1">
      <alignment horizontal="center"/>
    </xf>
    <xf numFmtId="0" fontId="9" fillId="0" borderId="14" xfId="5" applyFont="1" applyBorder="1"/>
    <xf numFmtId="0" fontId="10" fillId="0" borderId="48" xfId="5" applyBorder="1"/>
    <xf numFmtId="164" fontId="0" fillId="0" borderId="47" xfId="6" applyNumberFormat="1" applyFont="1" applyBorder="1"/>
    <xf numFmtId="16" fontId="10" fillId="5" borderId="49" xfId="5" quotePrefix="1" applyNumberFormat="1" applyFill="1" applyBorder="1" applyAlignment="1">
      <alignment horizontal="center"/>
    </xf>
    <xf numFmtId="0" fontId="39" fillId="0" borderId="19" xfId="5" applyFont="1" applyBorder="1"/>
    <xf numFmtId="164" fontId="39" fillId="0" borderId="51" xfId="6" applyNumberFormat="1" applyFont="1" applyBorder="1"/>
    <xf numFmtId="0" fontId="39" fillId="4" borderId="0" xfId="5" applyFont="1" applyFill="1"/>
    <xf numFmtId="0" fontId="11" fillId="4" borderId="0" xfId="0" applyFont="1" applyFill="1"/>
    <xf numFmtId="0" fontId="0" fillId="4" borderId="0" xfId="0" applyFill="1" applyAlignment="1">
      <alignment horizontal="left"/>
    </xf>
    <xf numFmtId="164" fontId="24" fillId="0" borderId="6" xfId="3" applyNumberFormat="1" applyFont="1" applyFill="1" applyBorder="1"/>
    <xf numFmtId="0" fontId="24" fillId="0" borderId="0" xfId="3" applyFont="1" applyFill="1"/>
    <xf numFmtId="164" fontId="0" fillId="0" borderId="0" xfId="2" applyNumberFormat="1" applyFont="1" applyFill="1" applyBorder="1"/>
    <xf numFmtId="164" fontId="38" fillId="0" borderId="0" xfId="2" applyNumberFormat="1" applyFont="1" applyFill="1"/>
    <xf numFmtId="164" fontId="24" fillId="0" borderId="0" xfId="2" applyNumberFormat="1" applyFont="1" applyFill="1"/>
    <xf numFmtId="164" fontId="24" fillId="0" borderId="8" xfId="2" applyNumberFormat="1" applyFont="1" applyFill="1" applyBorder="1"/>
    <xf numFmtId="164" fontId="24" fillId="0" borderId="0" xfId="2" applyNumberFormat="1" applyFont="1" applyFill="1" applyBorder="1"/>
    <xf numFmtId="0" fontId="14" fillId="0" borderId="0" xfId="0" applyFont="1"/>
    <xf numFmtId="0" fontId="63" fillId="0" borderId="72" xfId="0" applyFont="1" applyBorder="1"/>
    <xf numFmtId="165" fontId="0" fillId="0" borderId="55" xfId="1" applyNumberFormat="1" applyFont="1" applyBorder="1" applyAlignment="1">
      <alignment horizontal="center"/>
    </xf>
    <xf numFmtId="165" fontId="0" fillId="0" borderId="54" xfId="1" applyNumberFormat="1" applyFont="1" applyBorder="1" applyAlignment="1">
      <alignment horizontal="center"/>
    </xf>
    <xf numFmtId="165" fontId="0" fillId="0" borderId="0" xfId="1" applyNumberFormat="1" applyFont="1" applyBorder="1" applyAlignment="1">
      <alignment horizontal="center"/>
    </xf>
    <xf numFmtId="165" fontId="0" fillId="0" borderId="15" xfId="1" applyNumberFormat="1" applyFont="1" applyBorder="1" applyAlignment="1">
      <alignment horizontal="center"/>
    </xf>
    <xf numFmtId="0" fontId="0" fillId="0" borderId="11" xfId="0" applyBorder="1"/>
    <xf numFmtId="165" fontId="0" fillId="0" borderId="12" xfId="1" applyNumberFormat="1" applyFont="1" applyBorder="1"/>
    <xf numFmtId="165" fontId="0" fillId="0" borderId="13" xfId="1" applyNumberFormat="1" applyFont="1" applyBorder="1"/>
    <xf numFmtId="0" fontId="0" fillId="0" borderId="72" xfId="0" applyBorder="1"/>
    <xf numFmtId="10" fontId="63" fillId="0" borderId="0" xfId="4" applyNumberFormat="1" applyFont="1"/>
    <xf numFmtId="166" fontId="11" fillId="0" borderId="0" xfId="0" applyNumberFormat="1" applyFont="1" applyFill="1"/>
    <xf numFmtId="0" fontId="14" fillId="0" borderId="0" xfId="0" applyFont="1"/>
    <xf numFmtId="164" fontId="11" fillId="0" borderId="9" xfId="2" applyNumberFormat="1" applyFont="1" applyBorder="1"/>
    <xf numFmtId="165" fontId="0" fillId="4" borderId="0" xfId="1" applyNumberFormat="1" applyFont="1" applyFill="1" applyBorder="1"/>
    <xf numFmtId="3" fontId="13" fillId="0" borderId="1" xfId="0" applyNumberFormat="1" applyFont="1" applyFill="1" applyBorder="1" applyAlignment="1">
      <alignment horizontal="center"/>
    </xf>
    <xf numFmtId="3" fontId="27" fillId="0" borderId="71" xfId="0" applyNumberFormat="1" applyFont="1" applyFill="1" applyBorder="1" applyAlignment="1">
      <alignment horizontal="center"/>
    </xf>
    <xf numFmtId="164" fontId="14" fillId="0" borderId="70" xfId="2" applyNumberFormat="1" applyFont="1" applyFill="1" applyBorder="1"/>
    <xf numFmtId="165" fontId="14" fillId="0" borderId="8" xfId="1" applyNumberFormat="1" applyFont="1" applyFill="1" applyBorder="1"/>
    <xf numFmtId="165" fontId="14" fillId="0" borderId="8" xfId="0" applyNumberFormat="1" applyFont="1" applyFill="1" applyBorder="1"/>
    <xf numFmtId="3" fontId="14" fillId="0" borderId="8" xfId="0" applyNumberFormat="1" applyFont="1" applyBorder="1"/>
    <xf numFmtId="164" fontId="14" fillId="0" borderId="8" xfId="2" applyNumberFormat="1" applyFont="1" applyFill="1" applyBorder="1"/>
    <xf numFmtId="3" fontId="14" fillId="0" borderId="4" xfId="0" applyNumberFormat="1" applyFont="1" applyBorder="1"/>
    <xf numFmtId="0" fontId="14" fillId="0" borderId="0" xfId="0" applyFont="1"/>
    <xf numFmtId="0" fontId="14" fillId="0" borderId="0" xfId="0" applyFont="1"/>
    <xf numFmtId="9" fontId="14" fillId="0" borderId="5" xfId="0" applyNumberFormat="1" applyFont="1" applyBorder="1"/>
    <xf numFmtId="16" fontId="81" fillId="0" borderId="0" xfId="0" quotePrefix="1" applyNumberFormat="1" applyFont="1" applyBorder="1" applyAlignment="1">
      <alignment horizontal="center"/>
    </xf>
    <xf numFmtId="0" fontId="63" fillId="0" borderId="0" xfId="0" applyFont="1" applyBorder="1" applyAlignment="1">
      <alignment horizontal="center" vertical="center" wrapText="1"/>
    </xf>
    <xf numFmtId="0" fontId="11" fillId="0" borderId="0" xfId="0" applyFont="1" applyBorder="1" applyAlignment="1">
      <alignment horizontal="center"/>
    </xf>
    <xf numFmtId="0" fontId="11" fillId="0" borderId="16" xfId="0" applyFont="1" applyBorder="1" applyAlignment="1">
      <alignment horizontal="center" vertical="center" wrapText="1"/>
    </xf>
    <xf numFmtId="164" fontId="11" fillId="0" borderId="0" xfId="2" applyNumberFormat="1" applyFont="1" applyAlignment="1">
      <alignment vertical="center"/>
    </xf>
    <xf numFmtId="164" fontId="11" fillId="0" borderId="0" xfId="2" applyNumberFormat="1" applyFont="1" applyAlignment="1">
      <alignment horizontal="right" vertical="center"/>
    </xf>
    <xf numFmtId="0" fontId="63" fillId="0" borderId="9" xfId="0" applyFont="1" applyBorder="1" applyAlignment="1">
      <alignment horizontal="center"/>
    </xf>
    <xf numFmtId="164" fontId="63" fillId="4" borderId="0" xfId="2" applyNumberFormat="1" applyFont="1" applyFill="1"/>
    <xf numFmtId="0" fontId="63" fillId="4" borderId="0" xfId="0" applyFont="1" applyFill="1"/>
    <xf numFmtId="164" fontId="63" fillId="0" borderId="0" xfId="2" applyNumberFormat="1" applyFont="1" applyBorder="1" applyAlignment="1">
      <alignment vertical="center"/>
    </xf>
    <xf numFmtId="164" fontId="11" fillId="0" borderId="9" xfId="2" applyNumberFormat="1" applyFont="1" applyBorder="1" applyAlignment="1">
      <alignment vertical="center"/>
    </xf>
    <xf numFmtId="0" fontId="77" fillId="0" borderId="12" xfId="0" applyFont="1" applyBorder="1"/>
    <xf numFmtId="3" fontId="12" fillId="0" borderId="12" xfId="0" applyNumberFormat="1" applyFont="1" applyBorder="1" applyAlignment="1">
      <alignment horizontal="right" vertical="center"/>
    </xf>
    <xf numFmtId="3" fontId="12" fillId="0" borderId="0" xfId="0" applyNumberFormat="1" applyFont="1" applyAlignment="1">
      <alignment horizontal="right" vertical="center"/>
    </xf>
    <xf numFmtId="3" fontId="12" fillId="0" borderId="16" xfId="0" applyNumberFormat="1" applyFont="1" applyBorder="1" applyAlignment="1">
      <alignment horizontal="right" vertical="center"/>
    </xf>
    <xf numFmtId="0" fontId="64" fillId="0" borderId="49" xfId="0" applyFont="1" applyBorder="1" applyAlignment="1">
      <alignment vertical="center"/>
    </xf>
    <xf numFmtId="0" fontId="64" fillId="0" borderId="0" xfId="0" applyFont="1" applyBorder="1" applyAlignment="1">
      <alignment vertical="center"/>
    </xf>
    <xf numFmtId="3" fontId="12" fillId="0" borderId="0" xfId="0" applyNumberFormat="1" applyFont="1" applyBorder="1" applyAlignment="1">
      <alignment horizontal="right" vertical="center"/>
    </xf>
    <xf numFmtId="0" fontId="12" fillId="0" borderId="64" xfId="0" applyFont="1" applyBorder="1" applyAlignment="1">
      <alignment vertical="center"/>
    </xf>
    <xf numFmtId="0" fontId="64" fillId="0" borderId="60" xfId="0" applyFont="1" applyBorder="1" applyAlignment="1">
      <alignment vertical="center"/>
    </xf>
    <xf numFmtId="0" fontId="64" fillId="0" borderId="34" xfId="0" applyFont="1" applyBorder="1" applyAlignment="1">
      <alignment vertical="center"/>
    </xf>
    <xf numFmtId="0" fontId="12" fillId="0" borderId="34" xfId="0" applyFont="1" applyBorder="1" applyAlignment="1">
      <alignment vertical="center"/>
    </xf>
    <xf numFmtId="3" fontId="12" fillId="0" borderId="34" xfId="0" applyNumberFormat="1" applyFont="1" applyBorder="1" applyAlignment="1">
      <alignment horizontal="right" vertical="center"/>
    </xf>
    <xf numFmtId="0" fontId="12" fillId="0" borderId="10" xfId="0" applyFont="1" applyBorder="1" applyAlignment="1">
      <alignment vertical="center"/>
    </xf>
    <xf numFmtId="0" fontId="0" fillId="0" borderId="29" xfId="0" applyBorder="1"/>
    <xf numFmtId="0" fontId="12" fillId="0" borderId="0" xfId="0" applyFont="1" applyAlignment="1">
      <alignment horizontal="right" vertical="center"/>
    </xf>
    <xf numFmtId="3" fontId="12" fillId="4" borderId="0" xfId="0" applyNumberFormat="1" applyFont="1" applyFill="1" applyBorder="1" applyAlignment="1">
      <alignment horizontal="right" vertical="center"/>
    </xf>
    <xf numFmtId="0" fontId="12" fillId="0" borderId="16" xfId="0" applyFont="1" applyBorder="1" applyAlignment="1">
      <alignment horizontal="left" vertical="center"/>
    </xf>
    <xf numFmtId="0" fontId="12" fillId="0" borderId="16" xfId="0" applyFont="1" applyBorder="1" applyAlignment="1">
      <alignment vertical="center"/>
    </xf>
    <xf numFmtId="4" fontId="12" fillId="0" borderId="16" xfId="0" applyNumberFormat="1" applyFont="1" applyBorder="1" applyAlignment="1">
      <alignment horizontal="right" vertical="center"/>
    </xf>
    <xf numFmtId="164" fontId="0" fillId="0" borderId="29" xfId="2" applyNumberFormat="1" applyFont="1" applyBorder="1"/>
    <xf numFmtId="164" fontId="0" fillId="0" borderId="29" xfId="2" applyNumberFormat="1" applyFont="1" applyFill="1" applyBorder="1"/>
    <xf numFmtId="164" fontId="0" fillId="0" borderId="29" xfId="0" applyNumberFormat="1" applyBorder="1"/>
    <xf numFmtId="164" fontId="0" fillId="0" borderId="33" xfId="0" applyNumberFormat="1" applyBorder="1"/>
    <xf numFmtId="0" fontId="63" fillId="0" borderId="73" xfId="0" applyFont="1" applyBorder="1"/>
    <xf numFmtId="0" fontId="8" fillId="0" borderId="0" xfId="5" applyFont="1"/>
    <xf numFmtId="16" fontId="8" fillId="5" borderId="45" xfId="5" quotePrefix="1" applyNumberFormat="1" applyFont="1" applyFill="1" applyBorder="1" applyAlignment="1">
      <alignment horizontal="center" wrapText="1"/>
    </xf>
    <xf numFmtId="16" fontId="8" fillId="5" borderId="45" xfId="5" quotePrefix="1" applyNumberFormat="1" applyFont="1" applyFill="1" applyBorder="1" applyAlignment="1">
      <alignment horizontal="center"/>
    </xf>
    <xf numFmtId="16" fontId="8" fillId="5" borderId="45" xfId="5" applyNumberFormat="1" applyFont="1" applyFill="1" applyBorder="1" applyAlignment="1">
      <alignment horizontal="center"/>
    </xf>
    <xf numFmtId="0" fontId="8" fillId="0" borderId="14" xfId="5" applyFont="1" applyBorder="1"/>
    <xf numFmtId="0" fontId="0" fillId="8" borderId="0" xfId="0" applyFill="1"/>
    <xf numFmtId="0" fontId="0" fillId="8" borderId="0" xfId="0" applyFill="1" applyBorder="1"/>
    <xf numFmtId="0" fontId="13" fillId="8" borderId="0" xfId="0" applyFont="1" applyFill="1" applyAlignment="1">
      <alignment horizontal="center"/>
    </xf>
    <xf numFmtId="43" fontId="13" fillId="8" borderId="9" xfId="1" applyFont="1" applyFill="1" applyBorder="1" applyAlignment="1">
      <alignment horizontal="center"/>
    </xf>
    <xf numFmtId="9" fontId="11" fillId="8" borderId="0" xfId="4" applyFill="1"/>
    <xf numFmtId="9" fontId="13" fillId="8" borderId="6" xfId="4" applyFont="1" applyFill="1" applyBorder="1"/>
    <xf numFmtId="0" fontId="0" fillId="8" borderId="0" xfId="0" applyFill="1" applyAlignment="1">
      <alignment horizontal="center"/>
    </xf>
    <xf numFmtId="43" fontId="11" fillId="8" borderId="9" xfId="1" applyFont="1" applyFill="1" applyBorder="1" applyAlignment="1">
      <alignment horizontal="center"/>
    </xf>
    <xf numFmtId="165" fontId="11" fillId="8" borderId="0" xfId="1" applyNumberFormat="1" applyFill="1"/>
    <xf numFmtId="165" fontId="11" fillId="8" borderId="6" xfId="1" applyNumberFormat="1" applyFill="1" applyBorder="1"/>
    <xf numFmtId="0" fontId="0" fillId="8" borderId="16" xfId="0" applyFill="1" applyBorder="1"/>
    <xf numFmtId="0" fontId="13" fillId="8" borderId="0" xfId="0" applyFont="1" applyFill="1"/>
    <xf numFmtId="0" fontId="11" fillId="8" borderId="0" xfId="0" applyFont="1" applyFill="1"/>
    <xf numFmtId="0" fontId="17" fillId="8" borderId="0" xfId="0" applyFont="1" applyFill="1"/>
    <xf numFmtId="0" fontId="11" fillId="8" borderId="0" xfId="0" applyFont="1" applyFill="1" applyBorder="1"/>
    <xf numFmtId="43" fontId="62" fillId="8" borderId="9" xfId="1" applyFont="1" applyFill="1" applyBorder="1" applyAlignment="1">
      <alignment horizontal="center"/>
    </xf>
    <xf numFmtId="165" fontId="62" fillId="8" borderId="0" xfId="1" applyNumberFormat="1" applyFont="1" applyFill="1"/>
    <xf numFmtId="165" fontId="62" fillId="8" borderId="6" xfId="1" applyNumberFormat="1" applyFont="1" applyFill="1" applyBorder="1"/>
    <xf numFmtId="0" fontId="62" fillId="8" borderId="0" xfId="0" applyFont="1" applyFill="1"/>
    <xf numFmtId="0" fontId="0" fillId="8" borderId="9" xfId="0" applyFill="1" applyBorder="1"/>
    <xf numFmtId="0" fontId="64" fillId="0" borderId="15" xfId="0" applyFont="1" applyBorder="1" applyAlignment="1">
      <alignment vertical="center"/>
    </xf>
    <xf numFmtId="0" fontId="12" fillId="0" borderId="16" xfId="0" applyFont="1" applyBorder="1" applyAlignment="1">
      <alignment horizontal="center" vertical="center"/>
    </xf>
    <xf numFmtId="0" fontId="14" fillId="0" borderId="0" xfId="0" applyFont="1"/>
    <xf numFmtId="164" fontId="14" fillId="4" borderId="0" xfId="0" applyNumberFormat="1" applyFont="1" applyFill="1"/>
    <xf numFmtId="164" fontId="14" fillId="4" borderId="6" xfId="2" applyNumberFormat="1" applyFont="1" applyFill="1" applyBorder="1"/>
    <xf numFmtId="164" fontId="14" fillId="4" borderId="0" xfId="2" applyNumberFormat="1" applyFont="1" applyFill="1" applyBorder="1"/>
    <xf numFmtId="0" fontId="15" fillId="4" borderId="8" xfId="0" applyFont="1" applyFill="1" applyBorder="1"/>
    <xf numFmtId="0" fontId="14" fillId="0" borderId="0" xfId="0" applyFont="1"/>
    <xf numFmtId="0" fontId="14" fillId="0" borderId="0" xfId="0" applyFont="1"/>
    <xf numFmtId="9" fontId="14" fillId="0" borderId="0" xfId="0" applyNumberFormat="1" applyFont="1"/>
    <xf numFmtId="164" fontId="0" fillId="4" borderId="0" xfId="2" applyNumberFormat="1" applyFont="1" applyFill="1"/>
    <xf numFmtId="3" fontId="12" fillId="0" borderId="29" xfId="0" applyNumberFormat="1" applyFont="1" applyBorder="1" applyAlignment="1">
      <alignment horizontal="right" vertical="center"/>
    </xf>
    <xf numFmtId="0" fontId="12" fillId="0" borderId="29" xfId="0" applyFont="1" applyBorder="1" applyAlignment="1">
      <alignment vertical="center"/>
    </xf>
    <xf numFmtId="0" fontId="64" fillId="0" borderId="29" xfId="0" applyFont="1" applyBorder="1" applyAlignment="1">
      <alignment vertical="center"/>
    </xf>
    <xf numFmtId="3" fontId="82" fillId="0" borderId="74" xfId="0" applyNumberFormat="1" applyFont="1" applyFill="1" applyBorder="1" applyAlignment="1">
      <alignment horizontal="center"/>
    </xf>
    <xf numFmtId="3" fontId="83" fillId="0" borderId="75" xfId="0" applyNumberFormat="1" applyFont="1" applyFill="1" applyBorder="1" applyAlignment="1">
      <alignment horizontal="center"/>
    </xf>
    <xf numFmtId="0" fontId="84" fillId="0" borderId="76" xfId="0" applyFont="1" applyBorder="1"/>
    <xf numFmtId="165" fontId="84" fillId="0" borderId="76" xfId="1" applyNumberFormat="1" applyFont="1" applyBorder="1"/>
    <xf numFmtId="164" fontId="84" fillId="0" borderId="77" xfId="2" applyNumberFormat="1" applyFont="1" applyFill="1" applyBorder="1"/>
    <xf numFmtId="0" fontId="84" fillId="0" borderId="76" xfId="0" applyFont="1" applyFill="1" applyBorder="1"/>
    <xf numFmtId="165" fontId="84" fillId="0" borderId="76" xfId="0" applyNumberFormat="1" applyFont="1" applyFill="1" applyBorder="1"/>
    <xf numFmtId="3" fontId="84" fillId="0" borderId="78" xfId="0" applyNumberFormat="1" applyFont="1" applyBorder="1"/>
    <xf numFmtId="3" fontId="84" fillId="0" borderId="76" xfId="0" applyNumberFormat="1" applyFont="1" applyBorder="1"/>
    <xf numFmtId="164" fontId="84" fillId="0" borderId="76" xfId="2" applyNumberFormat="1" applyFont="1" applyFill="1" applyBorder="1"/>
    <xf numFmtId="3" fontId="84" fillId="0" borderId="79" xfId="0" applyNumberFormat="1" applyFont="1" applyBorder="1"/>
    <xf numFmtId="0" fontId="84" fillId="0" borderId="73" xfId="0" applyFont="1" applyBorder="1"/>
    <xf numFmtId="4" fontId="12" fillId="0" borderId="23" xfId="0" applyNumberFormat="1" applyFont="1" applyBorder="1" applyAlignment="1">
      <alignment horizontal="right" vertical="center"/>
    </xf>
    <xf numFmtId="4" fontId="12" fillId="0" borderId="33" xfId="0" applyNumberFormat="1" applyFont="1" applyBorder="1" applyAlignment="1">
      <alignment horizontal="right" vertical="center"/>
    </xf>
    <xf numFmtId="4" fontId="12" fillId="0" borderId="12" xfId="0" applyNumberFormat="1" applyFont="1" applyBorder="1" applyAlignment="1">
      <alignment horizontal="right" vertical="center"/>
    </xf>
    <xf numFmtId="4" fontId="12" fillId="0" borderId="20" xfId="0" applyNumberFormat="1" applyFont="1" applyBorder="1" applyAlignment="1">
      <alignment horizontal="right" vertical="center"/>
    </xf>
    <xf numFmtId="0" fontId="12" fillId="0" borderId="22" xfId="0" applyFont="1" applyBorder="1" applyAlignment="1">
      <alignment vertical="center"/>
    </xf>
    <xf numFmtId="0" fontId="12" fillId="0" borderId="12" xfId="0" applyFont="1" applyBorder="1" applyAlignment="1">
      <alignment horizontal="left" vertical="center"/>
    </xf>
    <xf numFmtId="0" fontId="12" fillId="0" borderId="35" xfId="0" applyFont="1" applyFill="1" applyBorder="1"/>
    <xf numFmtId="0" fontId="12" fillId="0" borderId="80" xfId="0" applyFont="1" applyFill="1" applyBorder="1"/>
    <xf numFmtId="4" fontId="12" fillId="0" borderId="0" xfId="0" applyNumberFormat="1" applyFont="1" applyFill="1" applyBorder="1"/>
    <xf numFmtId="4" fontId="65" fillId="0" borderId="0" xfId="0" applyNumberFormat="1" applyFont="1" applyFill="1" applyBorder="1"/>
    <xf numFmtId="4" fontId="12" fillId="0" borderId="6" xfId="0" applyNumberFormat="1" applyFont="1" applyFill="1" applyBorder="1"/>
    <xf numFmtId="4" fontId="64" fillId="0" borderId="1" xfId="0" applyNumberFormat="1" applyFont="1" applyFill="1" applyBorder="1"/>
    <xf numFmtId="0" fontId="12" fillId="0" borderId="35" xfId="0" applyFont="1" applyFill="1" applyBorder="1" applyAlignment="1">
      <alignment horizontal="center"/>
    </xf>
    <xf numFmtId="0" fontId="64" fillId="0" borderId="80" xfId="0" applyFont="1" applyFill="1" applyBorder="1"/>
    <xf numFmtId="0" fontId="12" fillId="0" borderId="80" xfId="0" applyFont="1" applyFill="1" applyBorder="1" applyAlignment="1">
      <alignment horizontal="center"/>
    </xf>
    <xf numFmtId="4" fontId="64" fillId="0" borderId="8" xfId="0" applyNumberFormat="1" applyFont="1" applyFill="1" applyBorder="1"/>
    <xf numFmtId="4" fontId="12" fillId="0" borderId="35" xfId="0" applyNumberFormat="1" applyFont="1" applyFill="1" applyBorder="1"/>
    <xf numFmtId="0" fontId="12" fillId="0" borderId="63" xfId="0" applyFont="1" applyBorder="1" applyAlignment="1">
      <alignment vertical="center"/>
    </xf>
    <xf numFmtId="0" fontId="12" fillId="0" borderId="5" xfId="0" applyFont="1" applyBorder="1" applyAlignment="1">
      <alignment vertical="center"/>
    </xf>
    <xf numFmtId="3" fontId="12" fillId="0" borderId="15" xfId="0" applyNumberFormat="1" applyFont="1" applyBorder="1" applyAlignment="1">
      <alignment horizontal="right" vertical="center"/>
    </xf>
    <xf numFmtId="4" fontId="12" fillId="0" borderId="0" xfId="10" applyNumberFormat="1" applyFont="1" applyFill="1" applyBorder="1"/>
    <xf numFmtId="4" fontId="12" fillId="0" borderId="6" xfId="10" applyNumberFormat="1" applyFont="1" applyFill="1" applyBorder="1"/>
    <xf numFmtId="0" fontId="12" fillId="0" borderId="35" xfId="10" applyFont="1" applyFill="1" applyBorder="1" applyAlignment="1">
      <alignment horizontal="center"/>
    </xf>
    <xf numFmtId="0" fontId="64" fillId="0" borderId="80" xfId="10" applyFont="1" applyFill="1" applyBorder="1"/>
    <xf numFmtId="0" fontId="12" fillId="0" borderId="80" xfId="10" applyFont="1" applyFill="1" applyBorder="1" applyAlignment="1">
      <alignment horizontal="center"/>
    </xf>
    <xf numFmtId="0" fontId="64" fillId="0" borderId="35" xfId="10" applyFont="1" applyFill="1" applyBorder="1"/>
    <xf numFmtId="0" fontId="64" fillId="0" borderId="26" xfId="10" applyFont="1" applyFill="1" applyBorder="1"/>
    <xf numFmtId="4" fontId="64" fillId="0" borderId="4" xfId="10" applyNumberFormat="1" applyFont="1" applyFill="1" applyBorder="1"/>
    <xf numFmtId="0" fontId="12" fillId="0" borderId="26" xfId="10" applyFont="1" applyFill="1" applyBorder="1" applyAlignment="1">
      <alignment horizontal="center"/>
    </xf>
    <xf numFmtId="4" fontId="12" fillId="0" borderId="26" xfId="10" applyNumberFormat="1" applyFont="1" applyFill="1" applyBorder="1"/>
    <xf numFmtId="4" fontId="85" fillId="0" borderId="0" xfId="10" applyNumberFormat="1" applyFont="1" applyFill="1" applyBorder="1"/>
    <xf numFmtId="4" fontId="86" fillId="0" borderId="9" xfId="10" applyNumberFormat="1" applyFont="1" applyFill="1" applyBorder="1"/>
    <xf numFmtId="0" fontId="12" fillId="0" borderId="80" xfId="10" applyFont="1" applyFill="1" applyBorder="1"/>
    <xf numFmtId="4" fontId="12" fillId="0" borderId="80" xfId="10" applyNumberFormat="1" applyFont="1" applyFill="1" applyBorder="1"/>
    <xf numFmtId="0" fontId="12" fillId="0" borderId="35" xfId="10" applyFont="1" applyFill="1" applyBorder="1"/>
    <xf numFmtId="4" fontId="12" fillId="0" borderId="35" xfId="10" applyNumberFormat="1" applyFont="1" applyFill="1" applyBorder="1"/>
    <xf numFmtId="4" fontId="64" fillId="0" borderId="1" xfId="10" applyNumberFormat="1" applyFont="1" applyFill="1" applyBorder="1"/>
    <xf numFmtId="4" fontId="64" fillId="0" borderId="8" xfId="10" applyNumberFormat="1" applyFont="1" applyFill="1" applyBorder="1"/>
    <xf numFmtId="4" fontId="12" fillId="0" borderId="8" xfId="10" applyNumberFormat="1" applyFont="1" applyFill="1" applyBorder="1"/>
    <xf numFmtId="0" fontId="12" fillId="0" borderId="26" xfId="10" applyFont="1" applyFill="1" applyBorder="1"/>
    <xf numFmtId="4" fontId="12" fillId="0" borderId="0" xfId="10" applyNumberFormat="1" applyFont="1" applyFill="1"/>
    <xf numFmtId="4" fontId="65" fillId="0" borderId="9" xfId="10" applyNumberFormat="1" applyFont="1" applyFill="1" applyBorder="1"/>
    <xf numFmtId="3" fontId="64" fillId="0" borderId="0" xfId="0" applyNumberFormat="1" applyFont="1" applyBorder="1" applyAlignment="1">
      <alignment vertical="center"/>
    </xf>
    <xf numFmtId="0" fontId="78" fillId="0" borderId="0" xfId="0" applyFont="1" applyAlignment="1">
      <alignment vertical="center"/>
    </xf>
    <xf numFmtId="0" fontId="87" fillId="0" borderId="23" xfId="0" applyFont="1" applyBorder="1" applyAlignment="1">
      <alignment vertical="center"/>
    </xf>
    <xf numFmtId="0" fontId="87" fillId="0" borderId="29" xfId="0" applyFont="1" applyBorder="1" applyAlignment="1">
      <alignment vertical="center"/>
    </xf>
    <xf numFmtId="0" fontId="71" fillId="0" borderId="29" xfId="0" applyFont="1" applyBorder="1" applyAlignment="1">
      <alignment vertical="center"/>
    </xf>
    <xf numFmtId="0" fontId="77" fillId="0" borderId="0" xfId="0" applyFont="1" applyAlignment="1">
      <alignment vertical="center"/>
    </xf>
    <xf numFmtId="3" fontId="71" fillId="0" borderId="0" xfId="0" applyNumberFormat="1" applyFont="1" applyAlignment="1">
      <alignment horizontal="right" vertical="center"/>
    </xf>
    <xf numFmtId="0" fontId="71" fillId="0" borderId="15" xfId="0" applyFont="1" applyBorder="1" applyAlignment="1">
      <alignment vertical="center"/>
    </xf>
    <xf numFmtId="0" fontId="71" fillId="0" borderId="15" xfId="0" applyFont="1" applyBorder="1" applyAlignment="1">
      <alignment horizontal="right" vertical="center"/>
    </xf>
    <xf numFmtId="3" fontId="71" fillId="0" borderId="15" xfId="0" applyNumberFormat="1" applyFont="1" applyBorder="1" applyAlignment="1">
      <alignment horizontal="right" vertical="center"/>
    </xf>
    <xf numFmtId="0" fontId="71" fillId="0" borderId="33" xfId="0" applyFont="1" applyBorder="1" applyAlignment="1">
      <alignment vertical="center"/>
    </xf>
    <xf numFmtId="0" fontId="87" fillId="0" borderId="16" xfId="0" applyFont="1" applyBorder="1" applyAlignment="1">
      <alignment vertical="center"/>
    </xf>
    <xf numFmtId="3" fontId="71" fillId="0" borderId="16" xfId="0" applyNumberFormat="1" applyFont="1" applyBorder="1" applyAlignment="1">
      <alignment horizontal="right" vertical="center"/>
    </xf>
    <xf numFmtId="3" fontId="78" fillId="0" borderId="0" xfId="0" applyNumberFormat="1" applyFont="1" applyAlignment="1">
      <alignment vertical="center"/>
    </xf>
    <xf numFmtId="16" fontId="81" fillId="0" borderId="55" xfId="0" quotePrefix="1" applyNumberFormat="1" applyFont="1" applyBorder="1" applyAlignment="1">
      <alignment horizontal="center"/>
    </xf>
    <xf numFmtId="0" fontId="12" fillId="0" borderId="29" xfId="0" applyFont="1" applyBorder="1" applyAlignment="1">
      <alignment vertical="center"/>
    </xf>
    <xf numFmtId="3" fontId="79" fillId="0" borderId="0" xfId="0" applyNumberFormat="1" applyFont="1" applyBorder="1" applyAlignment="1">
      <alignment horizontal="right" vertical="center"/>
    </xf>
    <xf numFmtId="0" fontId="79" fillId="0" borderId="64" xfId="0" applyFont="1" applyBorder="1" applyAlignment="1">
      <alignment vertical="center"/>
    </xf>
    <xf numFmtId="164" fontId="63" fillId="0" borderId="9" xfId="2" applyNumberFormat="1" applyFont="1" applyBorder="1"/>
    <xf numFmtId="0" fontId="14" fillId="0" borderId="0" xfId="0" applyFont="1"/>
    <xf numFmtId="0" fontId="63" fillId="0" borderId="0" xfId="0" applyFont="1" applyBorder="1" applyAlignment="1">
      <alignment horizontal="center"/>
    </xf>
    <xf numFmtId="164" fontId="11" fillId="0" borderId="0" xfId="2" applyNumberFormat="1" applyFont="1" applyBorder="1" applyAlignment="1">
      <alignment vertical="center"/>
    </xf>
    <xf numFmtId="0" fontId="15" fillId="0" borderId="8" xfId="0" applyFont="1" applyFill="1" applyBorder="1"/>
    <xf numFmtId="0" fontId="14" fillId="0" borderId="0" xfId="0" applyFont="1"/>
    <xf numFmtId="164" fontId="24" fillId="0" borderId="1" xfId="3" applyNumberFormat="1" applyFont="1" applyFill="1" applyBorder="1"/>
    <xf numFmtId="0" fontId="14" fillId="0" borderId="7" xfId="0" applyFont="1" applyBorder="1"/>
    <xf numFmtId="165" fontId="84" fillId="0" borderId="88" xfId="1" applyNumberFormat="1" applyFont="1" applyBorder="1"/>
    <xf numFmtId="3" fontId="13" fillId="0" borderId="89" xfId="0" applyNumberFormat="1" applyFont="1" applyFill="1" applyBorder="1" applyAlignment="1">
      <alignment horizontal="center"/>
    </xf>
    <xf numFmtId="3" fontId="27" fillId="0" borderId="90" xfId="0" applyNumberFormat="1" applyFont="1" applyFill="1" applyBorder="1" applyAlignment="1">
      <alignment horizontal="center"/>
    </xf>
    <xf numFmtId="0" fontId="14" fillId="0" borderId="87" xfId="0" applyFont="1" applyBorder="1"/>
    <xf numFmtId="3" fontId="14" fillId="0" borderId="87" xfId="0" applyNumberFormat="1" applyFont="1" applyBorder="1"/>
    <xf numFmtId="164" fontId="14" fillId="0" borderId="87" xfId="2" applyNumberFormat="1" applyFont="1" applyFill="1" applyBorder="1"/>
    <xf numFmtId="3" fontId="14" fillId="0" borderId="94" xfId="0" applyNumberFormat="1" applyFont="1" applyBorder="1"/>
    <xf numFmtId="3" fontId="89" fillId="0" borderId="0" xfId="0" applyNumberFormat="1" applyFont="1"/>
    <xf numFmtId="0" fontId="90" fillId="0" borderId="24" xfId="0" applyFont="1" applyBorder="1" applyAlignment="1">
      <alignment horizontal="center" vertical="center"/>
    </xf>
    <xf numFmtId="0" fontId="90" fillId="0" borderId="22" xfId="0" applyFont="1" applyBorder="1" applyAlignment="1">
      <alignment horizontal="center" vertical="center"/>
    </xf>
    <xf numFmtId="0" fontId="66" fillId="0" borderId="33" xfId="0" applyFont="1" applyBorder="1" applyAlignment="1">
      <alignment vertical="center"/>
    </xf>
    <xf numFmtId="0" fontId="66" fillId="0" borderId="17" xfId="0" applyFont="1" applyBorder="1" applyAlignment="1">
      <alignment horizontal="center" vertical="center"/>
    </xf>
    <xf numFmtId="0" fontId="66" fillId="0" borderId="17" xfId="0" applyFont="1" applyBorder="1" applyAlignment="1">
      <alignment vertical="center"/>
    </xf>
    <xf numFmtId="6" fontId="66" fillId="0" borderId="17" xfId="0" applyNumberFormat="1" applyFont="1" applyBorder="1" applyAlignment="1">
      <alignment horizontal="center" vertical="center"/>
    </xf>
    <xf numFmtId="0" fontId="91" fillId="0" borderId="0" xfId="0" applyFont="1" applyAlignment="1">
      <alignment horizontal="left" vertical="center" indent="4"/>
    </xf>
    <xf numFmtId="0" fontId="64" fillId="4" borderId="0" xfId="0" applyFont="1" applyFill="1" applyBorder="1" applyAlignment="1">
      <alignment vertical="center"/>
    </xf>
    <xf numFmtId="0" fontId="73" fillId="0" borderId="0" xfId="0" applyFont="1" applyAlignment="1">
      <alignment vertical="center"/>
    </xf>
    <xf numFmtId="0" fontId="14" fillId="0" borderId="0" xfId="0" applyFont="1"/>
    <xf numFmtId="0" fontId="71" fillId="0" borderId="29" xfId="0" applyFont="1" applyBorder="1" applyAlignment="1">
      <alignment vertical="center"/>
    </xf>
    <xf numFmtId="0" fontId="87" fillId="0" borderId="29" xfId="0" applyFont="1" applyBorder="1" applyAlignment="1">
      <alignment vertical="center"/>
    </xf>
    <xf numFmtId="0" fontId="78" fillId="0" borderId="0" xfId="0" applyFont="1" applyAlignment="1">
      <alignment vertical="center"/>
    </xf>
    <xf numFmtId="0" fontId="12" fillId="0" borderId="29" xfId="0" applyFont="1" applyBorder="1" applyAlignment="1">
      <alignment vertical="center"/>
    </xf>
    <xf numFmtId="0" fontId="64" fillId="0" borderId="29" xfId="0" applyFont="1" applyBorder="1" applyAlignment="1">
      <alignment vertical="center"/>
    </xf>
    <xf numFmtId="0" fontId="73" fillId="4" borderId="0" xfId="0" applyFont="1" applyFill="1" applyAlignment="1">
      <alignment vertical="center"/>
    </xf>
    <xf numFmtId="3" fontId="12" fillId="4" borderId="16" xfId="0" applyNumberFormat="1" applyFont="1" applyFill="1" applyBorder="1" applyAlignment="1">
      <alignment horizontal="right" vertical="center"/>
    </xf>
    <xf numFmtId="0" fontId="11" fillId="0" borderId="73" xfId="0" applyFont="1" applyBorder="1"/>
    <xf numFmtId="4" fontId="64" fillId="4" borderId="1" xfId="10" applyNumberFormat="1" applyFont="1" applyFill="1" applyBorder="1"/>
    <xf numFmtId="4" fontId="93" fillId="0" borderId="0" xfId="0" applyNumberFormat="1" applyFont="1"/>
    <xf numFmtId="0" fontId="27" fillId="0" borderId="0" xfId="0" applyFont="1" applyAlignment="1">
      <alignment horizontal="center"/>
    </xf>
    <xf numFmtId="164" fontId="11" fillId="0" borderId="49" xfId="0" applyNumberFormat="1" applyFont="1" applyBorder="1" applyAlignment="1">
      <alignment horizontal="center" wrapText="1"/>
    </xf>
    <xf numFmtId="0" fontId="20" fillId="0" borderId="0" xfId="0" applyFont="1" applyAlignment="1">
      <alignment horizontal="left"/>
    </xf>
    <xf numFmtId="164" fontId="11" fillId="0" borderId="47" xfId="0" applyNumberFormat="1" applyFont="1" applyBorder="1" applyAlignment="1">
      <alignment horizontal="right" wrapText="1"/>
    </xf>
    <xf numFmtId="0" fontId="13" fillId="0" borderId="59" xfId="0" applyFont="1" applyBorder="1" applyAlignment="1">
      <alignment horizontal="right"/>
    </xf>
    <xf numFmtId="164" fontId="13" fillId="0" borderId="60" xfId="0" applyNumberFormat="1" applyFont="1" applyBorder="1" applyAlignment="1">
      <alignment horizontal="right" wrapText="1"/>
    </xf>
    <xf numFmtId="0" fontId="20" fillId="0" borderId="0" xfId="0" applyFont="1"/>
    <xf numFmtId="164" fontId="11" fillId="0" borderId="47" xfId="2" applyNumberFormat="1" applyFont="1" applyBorder="1"/>
    <xf numFmtId="164" fontId="11" fillId="0" borderId="47" xfId="2" applyNumberFormat="1" applyFont="1" applyFill="1" applyBorder="1"/>
    <xf numFmtId="164" fontId="13" fillId="0" borderId="15" xfId="2" applyNumberFormat="1" applyFont="1" applyFill="1" applyBorder="1"/>
    <xf numFmtId="164" fontId="13" fillId="0" borderId="96" xfId="2" applyNumberFormat="1" applyFont="1" applyFill="1" applyBorder="1" applyAlignment="1">
      <alignment horizontal="center"/>
    </xf>
    <xf numFmtId="164" fontId="11" fillId="0" borderId="60" xfId="2" applyNumberFormat="1" applyFont="1" applyFill="1" applyBorder="1"/>
    <xf numFmtId="164" fontId="11" fillId="0" borderId="97" xfId="2" applyNumberFormat="1" applyFont="1" applyFill="1" applyBorder="1"/>
    <xf numFmtId="0" fontId="13" fillId="0" borderId="63" xfId="0" applyFont="1" applyFill="1" applyBorder="1" applyAlignment="1">
      <alignment horizontal="center"/>
    </xf>
    <xf numFmtId="164" fontId="13" fillId="0" borderId="65" xfId="2" applyNumberFormat="1" applyFont="1" applyFill="1" applyBorder="1"/>
    <xf numFmtId="0" fontId="11" fillId="0" borderId="43" xfId="0" applyFont="1" applyFill="1" applyBorder="1"/>
    <xf numFmtId="164" fontId="11" fillId="0" borderId="45" xfId="2" applyNumberFormat="1" applyFont="1" applyFill="1" applyBorder="1"/>
    <xf numFmtId="0" fontId="11" fillId="0" borderId="46" xfId="0" applyFont="1" applyFill="1" applyBorder="1"/>
    <xf numFmtId="0" fontId="13" fillId="0" borderId="62" xfId="0" applyFont="1" applyFill="1" applyBorder="1" applyAlignment="1">
      <alignment horizontal="center"/>
    </xf>
    <xf numFmtId="164" fontId="11" fillId="0" borderId="0" xfId="2" applyNumberFormat="1" applyFont="1" applyFill="1" applyBorder="1"/>
    <xf numFmtId="0" fontId="13" fillId="0" borderId="95" xfId="0" applyFont="1" applyFill="1" applyBorder="1" applyAlignment="1">
      <alignment horizontal="center"/>
    </xf>
    <xf numFmtId="0" fontId="11" fillId="0" borderId="64" xfId="0" applyFont="1" applyFill="1" applyBorder="1"/>
    <xf numFmtId="164" fontId="11" fillId="0" borderId="49" xfId="0" applyNumberFormat="1" applyFont="1" applyFill="1" applyBorder="1" applyAlignment="1">
      <alignment horizontal="center" wrapText="1"/>
    </xf>
    <xf numFmtId="0" fontId="11" fillId="0" borderId="46" xfId="0" applyFont="1" applyFill="1" applyBorder="1" applyAlignment="1">
      <alignment horizontal="left"/>
    </xf>
    <xf numFmtId="164" fontId="11" fillId="0" borderId="47" xfId="0" applyNumberFormat="1" applyFont="1" applyFill="1" applyBorder="1" applyAlignment="1">
      <alignment horizontal="right" wrapText="1"/>
    </xf>
    <xf numFmtId="0" fontId="11" fillId="0" borderId="59" xfId="0" applyFont="1" applyFill="1" applyBorder="1"/>
    <xf numFmtId="0" fontId="94" fillId="0" borderId="46" xfId="0" applyFont="1" applyFill="1" applyBorder="1"/>
    <xf numFmtId="164" fontId="94" fillId="0" borderId="47" xfId="2" applyNumberFormat="1" applyFont="1" applyFill="1" applyBorder="1"/>
    <xf numFmtId="164" fontId="11" fillId="9" borderId="47" xfId="2" applyNumberFormat="1" applyFont="1" applyFill="1" applyBorder="1"/>
    <xf numFmtId="164" fontId="94" fillId="0" borderId="46" xfId="2" applyNumberFormat="1" applyFont="1" applyFill="1" applyBorder="1"/>
    <xf numFmtId="0" fontId="95" fillId="0" borderId="46" xfId="0" applyFont="1" applyFill="1" applyBorder="1"/>
    <xf numFmtId="164" fontId="95" fillId="0" borderId="47" xfId="2" applyNumberFormat="1" applyFont="1" applyFill="1" applyBorder="1"/>
    <xf numFmtId="164" fontId="94" fillId="0" borderId="97" xfId="2" applyNumberFormat="1" applyFont="1" applyFill="1" applyBorder="1"/>
    <xf numFmtId="165" fontId="11" fillId="0" borderId="0" xfId="0" applyNumberFormat="1" applyFont="1" applyFill="1" applyBorder="1"/>
    <xf numFmtId="164" fontId="13" fillId="0" borderId="51" xfId="0" applyNumberFormat="1" applyFont="1" applyFill="1" applyBorder="1"/>
    <xf numFmtId="164" fontId="13" fillId="0" borderId="0" xfId="0" applyNumberFormat="1" applyFont="1" applyFill="1" applyBorder="1"/>
    <xf numFmtId="164" fontId="11" fillId="0" borderId="0" xfId="0" applyNumberFormat="1" applyFont="1" applyFill="1" applyBorder="1"/>
    <xf numFmtId="0" fontId="14" fillId="0" borderId="0" xfId="0" applyFont="1"/>
    <xf numFmtId="0" fontId="12" fillId="0" borderId="29" xfId="0" applyFont="1" applyBorder="1" applyAlignment="1">
      <alignment vertical="center"/>
    </xf>
    <xf numFmtId="0" fontId="64" fillId="0" borderId="29" xfId="0" applyFont="1" applyBorder="1" applyAlignment="1">
      <alignment vertical="center"/>
    </xf>
    <xf numFmtId="0" fontId="96" fillId="0" borderId="0" xfId="0" applyFont="1"/>
    <xf numFmtId="4" fontId="65" fillId="4" borderId="9" xfId="10" applyNumberFormat="1" applyFont="1" applyFill="1" applyBorder="1"/>
    <xf numFmtId="3" fontId="12" fillId="0" borderId="0" xfId="0" applyNumberFormat="1" applyFont="1" applyFill="1" applyBorder="1" applyAlignment="1">
      <alignment horizontal="right" vertical="center"/>
    </xf>
    <xf numFmtId="3" fontId="12" fillId="4" borderId="15" xfId="0" applyNumberFormat="1" applyFont="1" applyFill="1" applyBorder="1" applyAlignment="1">
      <alignment horizontal="right" vertical="center"/>
    </xf>
    <xf numFmtId="0" fontId="11" fillId="0" borderId="0" xfId="10"/>
    <xf numFmtId="4" fontId="64" fillId="0" borderId="0" xfId="10" applyNumberFormat="1" applyFont="1" applyFill="1"/>
    <xf numFmtId="3" fontId="64" fillId="0" borderId="0" xfId="10" applyNumberFormat="1" applyFont="1" applyFill="1" applyAlignment="1">
      <alignment horizontal="center"/>
    </xf>
    <xf numFmtId="0" fontId="64" fillId="0" borderId="0" xfId="10" applyFont="1" applyFill="1"/>
    <xf numFmtId="0" fontId="12" fillId="0" borderId="98" xfId="10" applyFont="1" applyFill="1" applyBorder="1"/>
    <xf numFmtId="4" fontId="12" fillId="0" borderId="53" xfId="10" applyNumberFormat="1" applyFont="1" applyFill="1" applyBorder="1"/>
    <xf numFmtId="0" fontId="12" fillId="0" borderId="98" xfId="10" applyFont="1" applyFill="1" applyBorder="1" applyAlignment="1">
      <alignment horizontal="center"/>
    </xf>
    <xf numFmtId="4" fontId="64" fillId="0" borderId="50" xfId="10" applyNumberFormat="1" applyFont="1" applyFill="1" applyBorder="1"/>
    <xf numFmtId="0" fontId="64" fillId="0" borderId="98" xfId="10" applyFont="1" applyFill="1" applyBorder="1"/>
    <xf numFmtId="0" fontId="11" fillId="0" borderId="0" xfId="10" applyFill="1"/>
    <xf numFmtId="0" fontId="11" fillId="0" borderId="6" xfId="10" applyFill="1" applyBorder="1"/>
    <xf numFmtId="0" fontId="11" fillId="0" borderId="4" xfId="10" applyFill="1" applyBorder="1"/>
    <xf numFmtId="0" fontId="11" fillId="0" borderId="8" xfId="10" applyFill="1" applyBorder="1"/>
    <xf numFmtId="0" fontId="12" fillId="0" borderId="8" xfId="10" applyFont="1" applyFill="1" applyBorder="1" applyAlignment="1">
      <alignment horizontal="center"/>
    </xf>
    <xf numFmtId="4" fontId="11" fillId="0" borderId="35" xfId="10" applyNumberFormat="1" applyFill="1" applyBorder="1"/>
    <xf numFmtId="4" fontId="64" fillId="0" borderId="35" xfId="10" applyNumberFormat="1" applyFont="1" applyFill="1" applyBorder="1"/>
    <xf numFmtId="0" fontId="12" fillId="0" borderId="7" xfId="10" applyFont="1" applyFill="1" applyBorder="1"/>
    <xf numFmtId="4" fontId="12" fillId="0" borderId="7" xfId="10" applyNumberFormat="1" applyFont="1" applyFill="1" applyBorder="1"/>
    <xf numFmtId="0" fontId="12" fillId="0" borderId="1" xfId="10" applyFont="1" applyFill="1" applyBorder="1" applyAlignment="1">
      <alignment horizontal="center"/>
    </xf>
    <xf numFmtId="0" fontId="64" fillId="0" borderId="1" xfId="10" applyFont="1" applyFill="1" applyBorder="1"/>
    <xf numFmtId="0" fontId="12" fillId="0" borderId="8" xfId="10" applyFont="1" applyFill="1" applyBorder="1"/>
    <xf numFmtId="0" fontId="12" fillId="0" borderId="5" xfId="10" applyFont="1" applyFill="1" applyBorder="1"/>
    <xf numFmtId="0" fontId="64" fillId="0" borderId="8" xfId="10" applyFont="1" applyFill="1" applyBorder="1"/>
    <xf numFmtId="4" fontId="12" fillId="0" borderId="4" xfId="10" applyNumberFormat="1" applyFont="1" applyFill="1" applyBorder="1"/>
    <xf numFmtId="4" fontId="12" fillId="0" borderId="5" xfId="10" applyNumberFormat="1" applyFont="1" applyFill="1" applyBorder="1"/>
    <xf numFmtId="0" fontId="12" fillId="0" borderId="41" xfId="10" applyFont="1" applyFill="1" applyBorder="1"/>
    <xf numFmtId="4" fontId="12" fillId="0" borderId="41" xfId="10" applyNumberFormat="1" applyFont="1" applyFill="1" applyBorder="1"/>
    <xf numFmtId="4" fontId="12" fillId="0" borderId="2" xfId="10" applyNumberFormat="1" applyFont="1" applyFill="1" applyBorder="1"/>
    <xf numFmtId="0" fontId="12" fillId="0" borderId="41" xfId="10" applyFont="1" applyFill="1" applyBorder="1" applyAlignment="1">
      <alignment horizontal="center"/>
    </xf>
    <xf numFmtId="4" fontId="64" fillId="0" borderId="27" xfId="10" applyNumberFormat="1" applyFont="1" applyFill="1" applyBorder="1"/>
    <xf numFmtId="0" fontId="64" fillId="0" borderId="41" xfId="10" applyFont="1" applyFill="1" applyBorder="1"/>
    <xf numFmtId="4" fontId="12" fillId="4" borderId="3" xfId="10" applyNumberFormat="1" applyFont="1" applyFill="1" applyBorder="1"/>
    <xf numFmtId="4" fontId="65" fillId="0" borderId="0" xfId="10" applyNumberFormat="1" applyFont="1" applyFill="1" applyBorder="1"/>
    <xf numFmtId="4" fontId="12" fillId="4" borderId="0" xfId="10" applyNumberFormat="1" applyFont="1" applyFill="1" applyBorder="1"/>
    <xf numFmtId="4" fontId="68" fillId="0" borderId="1" xfId="10" applyNumberFormat="1" applyFont="1" applyFill="1" applyBorder="1"/>
    <xf numFmtId="0" fontId="13" fillId="0" borderId="0" xfId="10" applyFont="1"/>
    <xf numFmtId="0" fontId="13" fillId="4" borderId="0" xfId="10" applyFont="1" applyFill="1"/>
    <xf numFmtId="0" fontId="64" fillId="0" borderId="80" xfId="0" applyFont="1" applyBorder="1"/>
    <xf numFmtId="0" fontId="12" fillId="0" borderId="80" xfId="0" applyFont="1" applyBorder="1"/>
    <xf numFmtId="4" fontId="69" fillId="0" borderId="1" xfId="0" applyNumberFormat="1" applyFont="1" applyFill="1" applyBorder="1"/>
    <xf numFmtId="0" fontId="64" fillId="0" borderId="35" xfId="0" applyFont="1" applyBorder="1"/>
    <xf numFmtId="4" fontId="12" fillId="4" borderId="8" xfId="0" applyNumberFormat="1" applyFont="1" applyFill="1" applyBorder="1"/>
    <xf numFmtId="4" fontId="12" fillId="0" borderId="8" xfId="0" applyNumberFormat="1" applyFont="1" applyFill="1" applyBorder="1"/>
    <xf numFmtId="4" fontId="12" fillId="0" borderId="35" xfId="0" applyNumberFormat="1" applyFont="1" applyBorder="1"/>
    <xf numFmtId="4" fontId="64" fillId="0" borderId="0" xfId="0" applyNumberFormat="1" applyFont="1" applyFill="1"/>
    <xf numFmtId="4" fontId="69" fillId="0" borderId="0" xfId="0" applyNumberFormat="1" applyFont="1" applyFill="1" applyBorder="1"/>
    <xf numFmtId="0" fontId="12" fillId="0" borderId="26" xfId="0" applyFont="1" applyBorder="1"/>
    <xf numFmtId="4" fontId="64" fillId="0" borderId="4" xfId="0" applyNumberFormat="1" applyFont="1" applyFill="1" applyBorder="1"/>
    <xf numFmtId="4" fontId="12" fillId="0" borderId="4" xfId="0" applyNumberFormat="1" applyFont="1" applyFill="1" applyBorder="1"/>
    <xf numFmtId="0" fontId="12" fillId="0" borderId="6" xfId="10" applyFont="1" applyFill="1" applyBorder="1" applyAlignment="1">
      <alignment horizontal="center"/>
    </xf>
    <xf numFmtId="0" fontId="12" fillId="0" borderId="0" xfId="10" applyFont="1" applyFill="1" applyBorder="1" applyAlignment="1">
      <alignment horizontal="center"/>
    </xf>
    <xf numFmtId="4" fontId="64" fillId="0" borderId="80" xfId="10" applyNumberFormat="1" applyFont="1" applyFill="1" applyBorder="1"/>
    <xf numFmtId="4" fontId="64" fillId="0" borderId="26" xfId="10" applyNumberFormat="1" applyFont="1" applyFill="1" applyBorder="1"/>
    <xf numFmtId="3" fontId="12" fillId="0" borderId="9" xfId="0" applyNumberFormat="1" applyFont="1" applyFill="1" applyBorder="1" applyAlignment="1">
      <alignment horizontal="right" vertical="center"/>
    </xf>
    <xf numFmtId="0" fontId="12" fillId="0" borderId="35" xfId="0" applyFont="1" applyBorder="1" applyAlignment="1">
      <alignment vertical="center"/>
    </xf>
    <xf numFmtId="0" fontId="12" fillId="0" borderId="26" xfId="0" applyFont="1" applyBorder="1" applyAlignment="1">
      <alignment vertical="center"/>
    </xf>
    <xf numFmtId="0" fontId="12" fillId="0" borderId="9" xfId="10" applyFont="1" applyFill="1" applyBorder="1" applyAlignment="1">
      <alignment horizontal="center"/>
    </xf>
    <xf numFmtId="4" fontId="65" fillId="4" borderId="16" xfId="0" applyNumberFormat="1" applyFont="1" applyFill="1" applyBorder="1" applyAlignment="1">
      <alignment horizontal="right" vertical="center"/>
    </xf>
    <xf numFmtId="0" fontId="12" fillId="0" borderId="0" xfId="0" applyFont="1" applyAlignment="1">
      <alignment vertical="center"/>
    </xf>
    <xf numFmtId="0" fontId="12" fillId="0" borderId="29" xfId="0" applyFont="1" applyBorder="1" applyAlignment="1">
      <alignment horizontal="right" vertical="center"/>
    </xf>
    <xf numFmtId="4" fontId="12" fillId="0" borderId="15" xfId="0" applyNumberFormat="1" applyFont="1" applyBorder="1" applyAlignment="1">
      <alignment horizontal="right" vertical="center"/>
    </xf>
    <xf numFmtId="0" fontId="71" fillId="0" borderId="0" xfId="0" applyFont="1" applyAlignment="1">
      <alignment horizontal="right" vertical="center"/>
    </xf>
    <xf numFmtId="0" fontId="72" fillId="0" borderId="16" xfId="0" applyFont="1" applyBorder="1" applyAlignment="1">
      <alignment horizontal="right" vertical="center"/>
    </xf>
    <xf numFmtId="0" fontId="64" fillId="0" borderId="14" xfId="0" applyFont="1" applyBorder="1" applyAlignment="1">
      <alignment vertical="center"/>
    </xf>
    <xf numFmtId="0" fontId="97" fillId="0" borderId="16" xfId="0" applyFont="1" applyBorder="1" applyAlignment="1">
      <alignment vertical="center"/>
    </xf>
    <xf numFmtId="0" fontId="64" fillId="0" borderId="19" xfId="0" applyFont="1" applyBorder="1" applyAlignment="1">
      <alignment vertical="center"/>
    </xf>
    <xf numFmtId="0" fontId="77" fillId="0" borderId="0" xfId="0" applyFont="1" applyAlignment="1">
      <alignment wrapText="1"/>
    </xf>
    <xf numFmtId="0" fontId="98" fillId="0" borderId="0" xfId="0" applyFont="1" applyAlignment="1">
      <alignment horizontal="right" vertical="center"/>
    </xf>
    <xf numFmtId="0" fontId="99" fillId="0" borderId="0" xfId="0" applyFont="1" applyAlignment="1">
      <alignment vertical="center" wrapText="1"/>
    </xf>
    <xf numFmtId="4" fontId="99" fillId="0" borderId="0" xfId="0" applyNumberFormat="1" applyFont="1" applyAlignment="1">
      <alignment horizontal="right" vertical="center"/>
    </xf>
    <xf numFmtId="8" fontId="99" fillId="0" borderId="28" xfId="0" applyNumberFormat="1" applyFont="1" applyBorder="1" applyAlignment="1">
      <alignment horizontal="right" vertical="center"/>
    </xf>
    <xf numFmtId="0" fontId="37" fillId="0" borderId="0" xfId="0" applyFont="1" applyAlignment="1">
      <alignment horizontal="left" vertical="center" indent="4"/>
    </xf>
    <xf numFmtId="0" fontId="79" fillId="0" borderId="35" xfId="10" applyFont="1" applyFill="1" applyBorder="1" applyAlignment="1">
      <alignment horizontal="center"/>
    </xf>
    <xf numFmtId="4" fontId="79" fillId="0" borderId="35" xfId="10" applyNumberFormat="1" applyFont="1" applyFill="1" applyBorder="1"/>
    <xf numFmtId="4" fontId="79" fillId="0" borderId="0" xfId="10" applyNumberFormat="1" applyFont="1" applyFill="1" applyBorder="1"/>
    <xf numFmtId="0" fontId="79" fillId="0" borderId="35" xfId="10" applyFont="1" applyFill="1" applyBorder="1"/>
    <xf numFmtId="3" fontId="13" fillId="0" borderId="50" xfId="0" applyNumberFormat="1" applyFont="1" applyFill="1" applyBorder="1" applyAlignment="1">
      <alignment horizontal="center"/>
    </xf>
    <xf numFmtId="3" fontId="14" fillId="0" borderId="1" xfId="0" applyNumberFormat="1" applyFont="1" applyFill="1" applyBorder="1"/>
    <xf numFmtId="3" fontId="14" fillId="0" borderId="8" xfId="0" applyNumberFormat="1" applyFont="1" applyFill="1" applyBorder="1"/>
    <xf numFmtId="3" fontId="14" fillId="0" borderId="4" xfId="0" applyNumberFormat="1" applyFont="1" applyFill="1" applyBorder="1"/>
    <xf numFmtId="0" fontId="14" fillId="0" borderId="0" xfId="0" applyFont="1"/>
    <xf numFmtId="167" fontId="14" fillId="0" borderId="9" xfId="4" applyNumberFormat="1" applyFont="1" applyBorder="1"/>
    <xf numFmtId="0" fontId="14" fillId="0" borderId="0" xfId="0" applyFont="1"/>
    <xf numFmtId="10" fontId="11" fillId="0" borderId="0" xfId="4" applyNumberFormat="1" applyFont="1" applyFill="1" applyAlignment="1">
      <alignment horizontal="center"/>
    </xf>
    <xf numFmtId="9" fontId="11" fillId="0" borderId="0" xfId="4" applyFont="1" applyFill="1" applyAlignment="1">
      <alignment horizontal="center"/>
    </xf>
    <xf numFmtId="10" fontId="24" fillId="0" borderId="0" xfId="4" applyNumberFormat="1" applyFont="1" applyFill="1"/>
    <xf numFmtId="0" fontId="13" fillId="4" borderId="0" xfId="0" applyFont="1" applyFill="1"/>
    <xf numFmtId="4" fontId="12" fillId="0" borderId="80" xfId="0" applyNumberFormat="1" applyFont="1" applyFill="1" applyBorder="1"/>
    <xf numFmtId="0" fontId="12" fillId="0" borderId="35" xfId="0" applyFont="1" applyBorder="1" applyAlignment="1">
      <alignment horizontal="center"/>
    </xf>
    <xf numFmtId="0" fontId="12" fillId="0" borderId="1" xfId="0" applyFont="1" applyBorder="1"/>
    <xf numFmtId="4" fontId="64" fillId="0" borderId="6" xfId="0" applyNumberFormat="1" applyFont="1" applyFill="1" applyBorder="1"/>
    <xf numFmtId="0" fontId="12" fillId="0" borderId="6" xfId="0" applyFont="1" applyBorder="1"/>
    <xf numFmtId="0" fontId="64" fillId="0" borderId="41" xfId="0" applyFont="1" applyFill="1" applyBorder="1"/>
    <xf numFmtId="4" fontId="64" fillId="0" borderId="27" xfId="0" applyNumberFormat="1" applyFont="1" applyFill="1" applyBorder="1"/>
    <xf numFmtId="0" fontId="12" fillId="0" borderId="41" xfId="0" applyFont="1" applyFill="1" applyBorder="1" applyAlignment="1">
      <alignment horizontal="center"/>
    </xf>
    <xf numFmtId="0" fontId="12" fillId="0" borderId="41" xfId="0" applyFont="1" applyFill="1" applyBorder="1"/>
    <xf numFmtId="4" fontId="12" fillId="0" borderId="3" xfId="0" applyNumberFormat="1" applyFont="1" applyFill="1" applyBorder="1"/>
    <xf numFmtId="4" fontId="12" fillId="0" borderId="2" xfId="0" applyNumberFormat="1" applyFont="1" applyFill="1" applyBorder="1"/>
    <xf numFmtId="4" fontId="12" fillId="0" borderId="41" xfId="0" applyNumberFormat="1" applyFont="1" applyFill="1" applyBorder="1"/>
    <xf numFmtId="0" fontId="64" fillId="0" borderId="35" xfId="0" applyFont="1" applyFill="1" applyBorder="1"/>
    <xf numFmtId="0" fontId="64" fillId="0" borderId="1" xfId="0" applyFont="1" applyFill="1" applyBorder="1"/>
    <xf numFmtId="0" fontId="12" fillId="0" borderId="1" xfId="0" applyFont="1" applyFill="1" applyBorder="1" applyAlignment="1">
      <alignment horizontal="center"/>
    </xf>
    <xf numFmtId="4" fontId="12" fillId="0" borderId="7" xfId="0" applyNumberFormat="1" applyFont="1" applyFill="1" applyBorder="1"/>
    <xf numFmtId="0" fontId="12" fillId="0" borderId="7" xfId="0" applyFont="1" applyFill="1" applyBorder="1"/>
    <xf numFmtId="0" fontId="12" fillId="0" borderId="8" xfId="0" applyFont="1" applyFill="1" applyBorder="1" applyAlignment="1">
      <alignment horizontal="center"/>
    </xf>
    <xf numFmtId="4" fontId="12" fillId="0" borderId="5" xfId="0" applyNumberFormat="1" applyFont="1" applyFill="1" applyBorder="1"/>
    <xf numFmtId="0" fontId="12" fillId="0" borderId="5" xfId="0" applyFont="1" applyFill="1" applyBorder="1"/>
    <xf numFmtId="0" fontId="12" fillId="0" borderId="8" xfId="0" applyFont="1" applyFill="1" applyBorder="1"/>
    <xf numFmtId="0" fontId="12" fillId="0" borderId="4" xfId="0" applyFont="1" applyFill="1" applyBorder="1" applyAlignment="1">
      <alignment horizontal="center"/>
    </xf>
    <xf numFmtId="0" fontId="12" fillId="0" borderId="26" xfId="0" applyFont="1" applyFill="1" applyBorder="1"/>
    <xf numFmtId="4" fontId="12" fillId="0" borderId="10" xfId="0" applyNumberFormat="1" applyFont="1" applyFill="1" applyBorder="1"/>
    <xf numFmtId="0" fontId="12" fillId="0" borderId="10" xfId="0" applyFont="1" applyFill="1" applyBorder="1"/>
    <xf numFmtId="0" fontId="64" fillId="0" borderId="8" xfId="0" applyFont="1" applyFill="1" applyBorder="1"/>
    <xf numFmtId="4" fontId="64" fillId="0" borderId="35" xfId="0" applyNumberFormat="1" applyFont="1" applyFill="1" applyBorder="1"/>
    <xf numFmtId="4" fontId="0" fillId="0" borderId="35" xfId="0" applyNumberFormat="1" applyFill="1" applyBorder="1"/>
    <xf numFmtId="0" fontId="0" fillId="0" borderId="8" xfId="0" applyFill="1" applyBorder="1"/>
    <xf numFmtId="4" fontId="12" fillId="0" borderId="26" xfId="0" applyNumberFormat="1" applyFont="1" applyFill="1" applyBorder="1"/>
    <xf numFmtId="0" fontId="0" fillId="0" borderId="4" xfId="0" applyFill="1" applyBorder="1"/>
    <xf numFmtId="0" fontId="0" fillId="0" borderId="6" xfId="0" applyFill="1" applyBorder="1"/>
    <xf numFmtId="0" fontId="64" fillId="0" borderId="98" xfId="0" applyFont="1" applyFill="1" applyBorder="1"/>
    <xf numFmtId="0" fontId="12" fillId="0" borderId="98" xfId="0" applyFont="1" applyFill="1" applyBorder="1" applyAlignment="1">
      <alignment horizontal="center"/>
    </xf>
    <xf numFmtId="0" fontId="12" fillId="0" borderId="98" xfId="0" applyFont="1" applyFill="1" applyBorder="1"/>
    <xf numFmtId="4" fontId="12" fillId="0" borderId="53" xfId="0" applyNumberFormat="1" applyFont="1" applyFill="1" applyBorder="1"/>
    <xf numFmtId="0" fontId="64" fillId="0" borderId="0" xfId="0" applyFont="1" applyFill="1"/>
    <xf numFmtId="3" fontId="64" fillId="0" borderId="0" xfId="0" applyNumberFormat="1" applyFont="1" applyFill="1" applyAlignment="1">
      <alignment horizontal="center"/>
    </xf>
    <xf numFmtId="4" fontId="12" fillId="0" borderId="0" xfId="0" applyNumberFormat="1" applyFont="1" applyFill="1"/>
    <xf numFmtId="0" fontId="64" fillId="0" borderId="23" xfId="0" applyFont="1" applyFill="1" applyBorder="1" applyAlignment="1">
      <alignment vertical="center"/>
    </xf>
    <xf numFmtId="0" fontId="12" fillId="0" borderId="23" xfId="0" applyFont="1" applyFill="1" applyBorder="1" applyAlignment="1">
      <alignment vertical="center"/>
    </xf>
    <xf numFmtId="0" fontId="12" fillId="0" borderId="13" xfId="0" applyFont="1" applyFill="1" applyBorder="1" applyAlignment="1">
      <alignment vertical="center"/>
    </xf>
    <xf numFmtId="4" fontId="12" fillId="0" borderId="12" xfId="0" applyNumberFormat="1" applyFont="1" applyFill="1" applyBorder="1" applyAlignment="1">
      <alignment horizontal="right" vertical="center"/>
    </xf>
    <xf numFmtId="0" fontId="64" fillId="0" borderId="29" xfId="0" applyFont="1" applyFill="1" applyBorder="1" applyAlignment="1">
      <alignment vertical="center"/>
    </xf>
    <xf numFmtId="0" fontId="12" fillId="0" borderId="29" xfId="0" applyFont="1" applyFill="1" applyBorder="1" applyAlignment="1">
      <alignment vertical="center"/>
    </xf>
    <xf numFmtId="0" fontId="12" fillId="0" borderId="15" xfId="0" applyFont="1" applyFill="1" applyBorder="1" applyAlignment="1">
      <alignment vertical="center"/>
    </xf>
    <xf numFmtId="4" fontId="12" fillId="0" borderId="0" xfId="0" applyNumberFormat="1" applyFont="1" applyFill="1" applyAlignment="1">
      <alignment horizontal="right" vertical="center"/>
    </xf>
    <xf numFmtId="0" fontId="64" fillId="0" borderId="33" xfId="0" applyFont="1" applyFill="1" applyBorder="1" applyAlignment="1">
      <alignment vertical="center"/>
    </xf>
    <xf numFmtId="0" fontId="12" fillId="0" borderId="33" xfId="0" applyFont="1" applyFill="1" applyBorder="1" applyAlignment="1">
      <alignment vertical="center"/>
    </xf>
    <xf numFmtId="0" fontId="12" fillId="0" borderId="17" xfId="0" applyFont="1" applyFill="1" applyBorder="1" applyAlignment="1">
      <alignment vertical="center"/>
    </xf>
    <xf numFmtId="4" fontId="65" fillId="0" borderId="16" xfId="0" applyNumberFormat="1" applyFont="1" applyFill="1" applyBorder="1" applyAlignment="1">
      <alignment horizontal="right" vertical="center"/>
    </xf>
    <xf numFmtId="0" fontId="12" fillId="0" borderId="0" xfId="0" applyFont="1" applyFill="1" applyAlignment="1">
      <alignment vertical="center"/>
    </xf>
    <xf numFmtId="0" fontId="12" fillId="0" borderId="29" xfId="0" applyFont="1" applyFill="1" applyBorder="1" applyAlignment="1">
      <alignment horizontal="right" vertical="center"/>
    </xf>
    <xf numFmtId="4" fontId="12" fillId="0" borderId="15" xfId="0" applyNumberFormat="1" applyFont="1" applyFill="1" applyBorder="1" applyAlignment="1">
      <alignment horizontal="right" vertical="center"/>
    </xf>
    <xf numFmtId="0" fontId="71" fillId="0" borderId="0" xfId="0" applyFont="1" applyFill="1" applyAlignment="1">
      <alignment horizontal="right" vertical="center"/>
    </xf>
    <xf numFmtId="0" fontId="72" fillId="0" borderId="16" xfId="0" applyFont="1" applyFill="1" applyBorder="1" applyAlignment="1">
      <alignment horizontal="right" vertical="center"/>
    </xf>
    <xf numFmtId="0" fontId="77" fillId="0" borderId="0" xfId="0" applyFont="1" applyFill="1"/>
    <xf numFmtId="0" fontId="97" fillId="0" borderId="16" xfId="0" applyFont="1" applyFill="1" applyBorder="1" applyAlignment="1">
      <alignment vertical="center"/>
    </xf>
    <xf numFmtId="4" fontId="12" fillId="0" borderId="16" xfId="0" applyNumberFormat="1" applyFont="1" applyFill="1" applyBorder="1" applyAlignment="1">
      <alignment horizontal="right" vertical="center"/>
    </xf>
    <xf numFmtId="10" fontId="0" fillId="4" borderId="0" xfId="0" applyNumberFormat="1" applyFill="1"/>
    <xf numFmtId="0" fontId="39" fillId="0" borderId="41" xfId="0" applyFont="1" applyBorder="1" applyAlignment="1">
      <alignment horizontal="center"/>
    </xf>
    <xf numFmtId="38" fontId="39" fillId="0" borderId="41" xfId="0" applyNumberFormat="1" applyFont="1" applyBorder="1" applyAlignment="1">
      <alignment horizontal="center"/>
    </xf>
    <xf numFmtId="0" fontId="39" fillId="0" borderId="41" xfId="0" applyFont="1" applyFill="1" applyBorder="1" applyAlignment="1">
      <alignment horizontal="center" wrapText="1"/>
    </xf>
    <xf numFmtId="0" fontId="0" fillId="0" borderId="41" xfId="0" applyBorder="1" applyAlignment="1">
      <alignment horizontal="center"/>
    </xf>
    <xf numFmtId="0" fontId="39" fillId="0" borderId="41" xfId="0" applyFont="1" applyBorder="1"/>
    <xf numFmtId="0" fontId="0" fillId="0" borderId="41" xfId="0" applyBorder="1"/>
    <xf numFmtId="38" fontId="0" fillId="0" borderId="41" xfId="0" applyNumberFormat="1" applyBorder="1"/>
    <xf numFmtId="38" fontId="39" fillId="0" borderId="41" xfId="0" applyNumberFormat="1" applyFont="1" applyBorder="1"/>
    <xf numFmtId="0" fontId="100" fillId="4" borderId="0" xfId="0" applyFont="1" applyFill="1"/>
    <xf numFmtId="0" fontId="0" fillId="4" borderId="0" xfId="0" applyFill="1"/>
    <xf numFmtId="38" fontId="0" fillId="4" borderId="0" xfId="0" applyNumberFormat="1" applyFill="1"/>
    <xf numFmtId="0" fontId="0" fillId="0" borderId="0" xfId="0" applyFont="1" applyFill="1"/>
    <xf numFmtId="0" fontId="14" fillId="0" borderId="0" xfId="0" applyFont="1"/>
    <xf numFmtId="4" fontId="64" fillId="10" borderId="0" xfId="0" applyNumberFormat="1" applyFont="1" applyFill="1" applyAlignment="1">
      <alignment horizontal="right" vertical="center"/>
    </xf>
    <xf numFmtId="4" fontId="64" fillId="10" borderId="12" xfId="0" applyNumberFormat="1" applyFont="1" applyFill="1" applyBorder="1" applyAlignment="1">
      <alignment horizontal="right" vertical="center"/>
    </xf>
    <xf numFmtId="0" fontId="64" fillId="10" borderId="0" xfId="0" applyFont="1" applyFill="1" applyAlignment="1">
      <alignment vertical="center"/>
    </xf>
    <xf numFmtId="0" fontId="64" fillId="10" borderId="16" xfId="0" applyFont="1" applyFill="1" applyBorder="1" applyAlignment="1">
      <alignment vertical="center"/>
    </xf>
    <xf numFmtId="0" fontId="64" fillId="10" borderId="14" xfId="0" applyFont="1" applyFill="1" applyBorder="1" applyAlignment="1">
      <alignment vertical="center"/>
    </xf>
    <xf numFmtId="0" fontId="64" fillId="10" borderId="19" xfId="0" applyFont="1" applyFill="1" applyBorder="1" applyAlignment="1">
      <alignment vertical="center"/>
    </xf>
    <xf numFmtId="4" fontId="64" fillId="10" borderId="0" xfId="0" applyNumberFormat="1" applyFont="1" applyFill="1"/>
    <xf numFmtId="4" fontId="64" fillId="10" borderId="1" xfId="0" applyNumberFormat="1" applyFont="1" applyFill="1" applyBorder="1"/>
    <xf numFmtId="4" fontId="64" fillId="10" borderId="8" xfId="0" applyNumberFormat="1" applyFont="1" applyFill="1" applyBorder="1"/>
    <xf numFmtId="4" fontId="0" fillId="10" borderId="0" xfId="0" applyNumberFormat="1" applyFill="1"/>
    <xf numFmtId="4" fontId="64" fillId="10" borderId="4" xfId="0" applyNumberFormat="1" applyFont="1" applyFill="1" applyBorder="1"/>
    <xf numFmtId="4" fontId="64" fillId="10" borderId="27" xfId="0" applyNumberFormat="1" applyFont="1" applyFill="1" applyBorder="1"/>
    <xf numFmtId="4" fontId="68" fillId="10" borderId="1" xfId="0" applyNumberFormat="1" applyFont="1" applyFill="1" applyBorder="1"/>
    <xf numFmtId="4" fontId="64" fillId="10" borderId="35" xfId="0" applyNumberFormat="1" applyFont="1" applyFill="1" applyBorder="1"/>
    <xf numFmtId="4" fontId="64" fillId="10" borderId="50" xfId="0" applyNumberFormat="1" applyFont="1" applyFill="1" applyBorder="1"/>
    <xf numFmtId="4" fontId="64" fillId="10" borderId="6" xfId="0" applyNumberFormat="1" applyFont="1" applyFill="1" applyBorder="1"/>
    <xf numFmtId="16" fontId="0" fillId="0" borderId="0" xfId="0" quotePrefix="1" applyNumberFormat="1" applyFont="1"/>
    <xf numFmtId="37" fontId="13" fillId="11" borderId="0" xfId="0" applyNumberFormat="1" applyFont="1" applyFill="1"/>
    <xf numFmtId="0" fontId="13" fillId="0" borderId="0" xfId="0" applyFont="1" applyFill="1" applyAlignment="1">
      <alignment horizontal="center"/>
    </xf>
    <xf numFmtId="0" fontId="14" fillId="0" borderId="0" xfId="0" applyFont="1"/>
    <xf numFmtId="170" fontId="11" fillId="0" borderId="0" xfId="0" applyNumberFormat="1" applyFont="1" applyFill="1"/>
    <xf numFmtId="167" fontId="11" fillId="0" borderId="0" xfId="2" applyNumberFormat="1" applyFont="1" applyFill="1" applyAlignment="1">
      <alignment horizontal="center"/>
    </xf>
    <xf numFmtId="169" fontId="11" fillId="0" borderId="0" xfId="0" applyNumberFormat="1" applyFont="1" applyFill="1" applyAlignment="1">
      <alignment horizontal="center"/>
    </xf>
    <xf numFmtId="9" fontId="11" fillId="0" borderId="0" xfId="0" applyNumberFormat="1" applyFont="1" applyFill="1" applyAlignment="1">
      <alignment horizontal="center"/>
    </xf>
    <xf numFmtId="10" fontId="11" fillId="0" borderId="0" xfId="2" applyNumberFormat="1" applyFont="1" applyFill="1" applyAlignment="1">
      <alignment horizontal="center"/>
    </xf>
    <xf numFmtId="164" fontId="11" fillId="0" borderId="0" xfId="2" applyNumberFormat="1" applyFont="1" applyFill="1" applyAlignment="1">
      <alignment horizontal="center"/>
    </xf>
    <xf numFmtId="6" fontId="11" fillId="0" borderId="0" xfId="0" applyNumberFormat="1" applyFont="1" applyFill="1" applyAlignment="1">
      <alignment horizontal="center"/>
    </xf>
    <xf numFmtId="167" fontId="24" fillId="0" borderId="67" xfId="4" applyNumberFormat="1" applyFont="1" applyFill="1" applyBorder="1"/>
    <xf numFmtId="0" fontId="63" fillId="0" borderId="0" xfId="0" applyFont="1" applyFill="1"/>
    <xf numFmtId="0" fontId="0" fillId="0" borderId="0" xfId="0" applyFont="1" applyFill="1" applyAlignment="1">
      <alignment horizontal="left"/>
    </xf>
    <xf numFmtId="0" fontId="0" fillId="0" borderId="0" xfId="0" applyFont="1" applyFill="1" applyAlignment="1">
      <alignment horizontal="center"/>
    </xf>
    <xf numFmtId="44" fontId="0" fillId="0" borderId="0" xfId="2" applyFont="1" applyFill="1" applyAlignment="1">
      <alignment horizontal="left"/>
    </xf>
    <xf numFmtId="44" fontId="0" fillId="0" borderId="0" xfId="2" applyFont="1" applyFill="1" applyAlignment="1">
      <alignment horizontal="center"/>
    </xf>
    <xf numFmtId="0" fontId="0" fillId="0" borderId="72" xfId="0" applyFill="1" applyBorder="1"/>
    <xf numFmtId="16" fontId="81" fillId="0" borderId="55" xfId="0" quotePrefix="1" applyNumberFormat="1" applyFont="1" applyFill="1" applyBorder="1" applyAlignment="1">
      <alignment horizontal="center"/>
    </xf>
    <xf numFmtId="165" fontId="0" fillId="0" borderId="55" xfId="1" applyNumberFormat="1" applyFont="1" applyFill="1" applyBorder="1" applyAlignment="1">
      <alignment horizontal="center"/>
    </xf>
    <xf numFmtId="165" fontId="0" fillId="0" borderId="54" xfId="1" applyNumberFormat="1" applyFont="1" applyFill="1" applyBorder="1" applyAlignment="1">
      <alignment horizontal="center"/>
    </xf>
    <xf numFmtId="165" fontId="0" fillId="0" borderId="0" xfId="0" applyNumberFormat="1" applyFill="1"/>
    <xf numFmtId="0" fontId="0" fillId="0" borderId="14" xfId="0" applyFill="1" applyBorder="1"/>
    <xf numFmtId="0" fontId="0" fillId="0" borderId="0" xfId="0" applyFill="1" applyBorder="1"/>
    <xf numFmtId="165" fontId="0" fillId="0" borderId="15" xfId="1" applyNumberFormat="1" applyFont="1" applyFill="1" applyBorder="1"/>
    <xf numFmtId="165" fontId="0" fillId="0" borderId="0" xfId="1" applyNumberFormat="1" applyFont="1" applyFill="1"/>
    <xf numFmtId="43" fontId="0" fillId="0" borderId="0" xfId="0" applyNumberFormat="1" applyFill="1"/>
    <xf numFmtId="43" fontId="0" fillId="0" borderId="0" xfId="1" applyNumberFormat="1" applyFont="1" applyFill="1" applyBorder="1"/>
    <xf numFmtId="165" fontId="0" fillId="0" borderId="9" xfId="1" applyNumberFormat="1" applyFont="1" applyFill="1" applyBorder="1"/>
    <xf numFmtId="165" fontId="0" fillId="0" borderId="34" xfId="1" applyNumberFormat="1" applyFont="1" applyFill="1" applyBorder="1"/>
    <xf numFmtId="9" fontId="0" fillId="0" borderId="0" xfId="4" applyFont="1" applyFill="1"/>
    <xf numFmtId="10" fontId="0" fillId="0" borderId="0" xfId="4" applyNumberFormat="1" applyFont="1" applyFill="1"/>
    <xf numFmtId="10" fontId="63" fillId="0" borderId="0" xfId="4" applyNumberFormat="1" applyFont="1" applyFill="1"/>
    <xf numFmtId="0" fontId="11" fillId="0" borderId="14" xfId="0" applyFont="1" applyFill="1" applyBorder="1"/>
    <xf numFmtId="167" fontId="0" fillId="0" borderId="0" xfId="4" applyNumberFormat="1" applyFont="1" applyFill="1" applyBorder="1"/>
    <xf numFmtId="167" fontId="0" fillId="0" borderId="15" xfId="4" applyNumberFormat="1" applyFont="1" applyFill="1" applyBorder="1"/>
    <xf numFmtId="0" fontId="0" fillId="0" borderId="19" xfId="0" applyFill="1" applyBorder="1"/>
    <xf numFmtId="0" fontId="0" fillId="0" borderId="16" xfId="0" applyFill="1" applyBorder="1"/>
    <xf numFmtId="0" fontId="0" fillId="0" borderId="17" xfId="0" applyFill="1" applyBorder="1"/>
    <xf numFmtId="16" fontId="13" fillId="0" borderId="55" xfId="0" quotePrefix="1" applyNumberFormat="1" applyFont="1" applyFill="1" applyBorder="1" applyAlignment="1">
      <alignment horizontal="center"/>
    </xf>
    <xf numFmtId="0" fontId="0" fillId="0" borderId="11" xfId="0" applyFill="1" applyBorder="1"/>
    <xf numFmtId="0" fontId="0" fillId="0" borderId="12" xfId="0" applyFill="1" applyBorder="1"/>
    <xf numFmtId="0" fontId="0" fillId="0" borderId="13" xfId="0" applyFill="1" applyBorder="1"/>
    <xf numFmtId="0" fontId="0" fillId="0" borderId="15" xfId="0" applyFill="1" applyBorder="1"/>
    <xf numFmtId="0" fontId="0" fillId="0" borderId="0" xfId="0" applyFill="1" applyBorder="1" applyAlignment="1">
      <alignment wrapText="1"/>
    </xf>
    <xf numFmtId="165" fontId="0" fillId="0" borderId="14" xfId="0" applyNumberFormat="1" applyFill="1" applyBorder="1"/>
    <xf numFmtId="43" fontId="0" fillId="0" borderId="0" xfId="0" applyNumberFormat="1" applyFill="1" applyBorder="1"/>
    <xf numFmtId="3" fontId="27" fillId="0" borderId="81" xfId="0" applyNumberFormat="1" applyFont="1" applyFill="1" applyBorder="1" applyAlignment="1">
      <alignment horizontal="center"/>
    </xf>
    <xf numFmtId="164" fontId="14" fillId="0" borderId="82" xfId="2" applyNumberFormat="1" applyFont="1" applyFill="1" applyBorder="1"/>
    <xf numFmtId="165" fontId="14" fillId="0" borderId="82" xfId="1" applyNumberFormat="1" applyFont="1" applyFill="1" applyBorder="1"/>
    <xf numFmtId="3" fontId="14" fillId="0" borderId="36" xfId="0" applyNumberFormat="1" applyFont="1" applyFill="1" applyBorder="1"/>
    <xf numFmtId="3" fontId="14" fillId="0" borderId="15" xfId="0" applyNumberFormat="1" applyFont="1" applyFill="1" applyBorder="1"/>
    <xf numFmtId="9" fontId="14" fillId="0" borderId="0" xfId="0" applyNumberFormat="1" applyFont="1" applyFill="1"/>
    <xf numFmtId="0" fontId="15" fillId="0" borderId="0" xfId="0" applyFont="1" applyFill="1"/>
    <xf numFmtId="164" fontId="58" fillId="0" borderId="0" xfId="2" applyNumberFormat="1" applyFont="1" applyFill="1"/>
    <xf numFmtId="0" fontId="14" fillId="0" borderId="1" xfId="0" applyFont="1" applyFill="1" applyBorder="1"/>
    <xf numFmtId="0" fontId="14" fillId="0" borderId="6" xfId="0" applyFont="1" applyFill="1" applyBorder="1"/>
    <xf numFmtId="164" fontId="14" fillId="0" borderId="7" xfId="0" applyNumberFormat="1" applyFont="1" applyFill="1" applyBorder="1"/>
    <xf numFmtId="0" fontId="11" fillId="0" borderId="4" xfId="0" applyFont="1" applyFill="1" applyBorder="1"/>
    <xf numFmtId="164" fontId="14" fillId="0" borderId="10" xfId="0" applyNumberFormat="1" applyFont="1" applyFill="1" applyBorder="1"/>
    <xf numFmtId="0" fontId="11" fillId="0" borderId="0" xfId="0" applyFont="1" applyFill="1" applyAlignment="1">
      <alignment horizontal="left" indent="1"/>
    </xf>
    <xf numFmtId="43" fontId="14" fillId="0" borderId="0" xfId="0" applyNumberFormat="1" applyFont="1" applyFill="1"/>
    <xf numFmtId="0" fontId="15" fillId="0" borderId="0" xfId="0" applyFont="1" applyFill="1" applyAlignment="1"/>
    <xf numFmtId="0" fontId="14" fillId="0" borderId="7" xfId="0" applyFont="1" applyFill="1" applyBorder="1" applyAlignment="1">
      <alignment horizontal="center"/>
    </xf>
    <xf numFmtId="164" fontId="14" fillId="0" borderId="5" xfId="0" applyNumberFormat="1" applyFont="1" applyFill="1" applyBorder="1"/>
    <xf numFmtId="0" fontId="14" fillId="0" borderId="0" xfId="0" applyFont="1" applyFill="1" applyAlignment="1">
      <alignment horizontal="left" indent="1"/>
    </xf>
    <xf numFmtId="164" fontId="14" fillId="0" borderId="5" xfId="2" applyNumberFormat="1" applyFont="1" applyFill="1" applyBorder="1"/>
    <xf numFmtId="0" fontId="15" fillId="0" borderId="4" xfId="0" applyFont="1" applyFill="1" applyBorder="1"/>
    <xf numFmtId="164" fontId="14" fillId="0" borderId="2" xfId="2" applyNumberFormat="1" applyFont="1" applyFill="1" applyBorder="1"/>
    <xf numFmtId="165" fontId="14" fillId="0" borderId="5" xfId="0" applyNumberFormat="1" applyFont="1" applyFill="1" applyBorder="1"/>
    <xf numFmtId="165" fontId="14" fillId="0" borderId="10" xfId="0" applyNumberFormat="1" applyFont="1" applyFill="1" applyBorder="1"/>
    <xf numFmtId="165" fontId="14" fillId="0" borderId="0" xfId="0" applyNumberFormat="1" applyFont="1" applyFill="1"/>
    <xf numFmtId="165" fontId="17" fillId="0" borderId="0" xfId="0" applyNumberFormat="1" applyFont="1" applyFill="1"/>
    <xf numFmtId="0" fontId="16" fillId="0" borderId="0" xfId="0" applyFont="1" applyFill="1"/>
    <xf numFmtId="164" fontId="14" fillId="0" borderId="6" xfId="0" applyNumberFormat="1" applyFont="1" applyFill="1" applyBorder="1"/>
    <xf numFmtId="164" fontId="63" fillId="0" borderId="0" xfId="0" applyNumberFormat="1" applyFont="1" applyFill="1"/>
    <xf numFmtId="0" fontId="14" fillId="0" borderId="3" xfId="0" applyFont="1" applyFill="1" applyBorder="1" applyAlignment="1">
      <alignment horizontal="center"/>
    </xf>
    <xf numFmtId="0" fontId="0" fillId="0" borderId="8" xfId="0" applyFont="1" applyFill="1" applyBorder="1"/>
    <xf numFmtId="164" fontId="14" fillId="0" borderId="0" xfId="0" applyNumberFormat="1" applyFont="1" applyFill="1" applyBorder="1" applyAlignment="1">
      <alignment horizontal="center"/>
    </xf>
    <xf numFmtId="9" fontId="14" fillId="0" borderId="5" xfId="0" applyNumberFormat="1" applyFont="1" applyFill="1" applyBorder="1"/>
    <xf numFmtId="164" fontId="84" fillId="0" borderId="5" xfId="2" applyNumberFormat="1" applyFont="1" applyFill="1" applyBorder="1"/>
    <xf numFmtId="0" fontId="24" fillId="0" borderId="1" xfId="3" applyFont="1" applyFill="1" applyBorder="1"/>
    <xf numFmtId="0" fontId="24" fillId="0" borderId="6" xfId="3" applyFont="1" applyFill="1" applyBorder="1"/>
    <xf numFmtId="0" fontId="24" fillId="0" borderId="7" xfId="3" applyFont="1" applyFill="1" applyBorder="1"/>
    <xf numFmtId="165" fontId="24" fillId="0" borderId="1" xfId="1" applyNumberFormat="1" applyFont="1" applyFill="1" applyBorder="1"/>
    <xf numFmtId="0" fontId="24" fillId="0" borderId="8" xfId="3" applyFont="1" applyFill="1" applyBorder="1"/>
    <xf numFmtId="0" fontId="24" fillId="0" borderId="0" xfId="3" applyFont="1" applyFill="1" applyBorder="1" applyAlignment="1">
      <alignment horizontal="center"/>
    </xf>
    <xf numFmtId="0" fontId="24" fillId="0" borderId="5" xfId="3" applyFont="1" applyFill="1" applyBorder="1" applyAlignment="1">
      <alignment horizontal="center"/>
    </xf>
    <xf numFmtId="0" fontId="76" fillId="0" borderId="8" xfId="3" applyFont="1" applyFill="1" applyBorder="1" applyAlignment="1">
      <alignment horizontal="center"/>
    </xf>
    <xf numFmtId="165" fontId="76" fillId="0" borderId="8" xfId="1" applyNumberFormat="1" applyFont="1" applyFill="1" applyBorder="1" applyAlignment="1">
      <alignment horizontal="center"/>
    </xf>
    <xf numFmtId="0" fontId="76" fillId="0" borderId="0" xfId="3" applyFont="1" applyFill="1" applyBorder="1" applyAlignment="1">
      <alignment horizontal="center"/>
    </xf>
    <xf numFmtId="0" fontId="24" fillId="0" borderId="37" xfId="3" applyFont="1" applyFill="1" applyBorder="1" applyAlignment="1">
      <alignment horizontal="center"/>
    </xf>
    <xf numFmtId="0" fontId="24" fillId="0" borderId="9" xfId="3" applyFont="1" applyFill="1" applyBorder="1" applyAlignment="1">
      <alignment horizontal="center"/>
    </xf>
    <xf numFmtId="0" fontId="24" fillId="0" borderId="10" xfId="3" applyFont="1" applyFill="1" applyBorder="1" applyAlignment="1">
      <alignment horizontal="center"/>
    </xf>
    <xf numFmtId="0" fontId="24" fillId="0" borderId="4" xfId="3" quotePrefix="1" applyFont="1" applyFill="1" applyBorder="1" applyAlignment="1">
      <alignment horizontal="center"/>
    </xf>
    <xf numFmtId="165" fontId="24" fillId="0" borderId="4" xfId="1" applyNumberFormat="1" applyFont="1" applyFill="1" applyBorder="1" applyAlignment="1">
      <alignment horizontal="center"/>
    </xf>
    <xf numFmtId="0" fontId="24" fillId="0" borderId="0" xfId="3" applyFont="1" applyFill="1" applyAlignment="1">
      <alignment horizontal="center"/>
    </xf>
    <xf numFmtId="37" fontId="24" fillId="0" borderId="38" xfId="3" applyNumberFormat="1" applyFont="1" applyFill="1" applyBorder="1"/>
    <xf numFmtId="37" fontId="24" fillId="0" borderId="0" xfId="3" applyNumberFormat="1" applyFont="1" applyFill="1" applyBorder="1"/>
    <xf numFmtId="37" fontId="24" fillId="0" borderId="5" xfId="3" applyNumberFormat="1" applyFont="1" applyFill="1" applyBorder="1"/>
    <xf numFmtId="37" fontId="24" fillId="0" borderId="8" xfId="3" applyNumberFormat="1" applyFont="1" applyFill="1" applyBorder="1"/>
    <xf numFmtId="165" fontId="24" fillId="0" borderId="0" xfId="1" applyNumberFormat="1" applyFont="1" applyFill="1" applyBorder="1"/>
    <xf numFmtId="165" fontId="24" fillId="0" borderId="8" xfId="1" applyNumberFormat="1" applyFont="1" applyFill="1" applyBorder="1"/>
    <xf numFmtId="165" fontId="24" fillId="0" borderId="0" xfId="1" applyNumberFormat="1" applyFont="1" applyFill="1"/>
    <xf numFmtId="37" fontId="38" fillId="0" borderId="0" xfId="3" applyNumberFormat="1" applyFont="1" applyFill="1" applyBorder="1"/>
    <xf numFmtId="37" fontId="24" fillId="0" borderId="0" xfId="3" applyNumberFormat="1" applyFont="1" applyFill="1"/>
    <xf numFmtId="37" fontId="76" fillId="0" borderId="8" xfId="3" applyNumberFormat="1" applyFont="1" applyFill="1" applyBorder="1"/>
    <xf numFmtId="10" fontId="24" fillId="0" borderId="38" xfId="3" applyNumberFormat="1" applyFont="1" applyFill="1" applyBorder="1"/>
    <xf numFmtId="10" fontId="11" fillId="0" borderId="0" xfId="4" applyNumberFormat="1" applyFont="1" applyFill="1" applyBorder="1"/>
    <xf numFmtId="10" fontId="35" fillId="0" borderId="0" xfId="4" applyNumberFormat="1" applyFont="1" applyFill="1" applyBorder="1"/>
    <xf numFmtId="167" fontId="11" fillId="0" borderId="5" xfId="4" applyNumberFormat="1" applyFont="1" applyFill="1" applyBorder="1"/>
    <xf numFmtId="167" fontId="11" fillId="0" borderId="0" xfId="4" applyNumberFormat="1" applyFont="1" applyFill="1" applyBorder="1"/>
    <xf numFmtId="167" fontId="11" fillId="0" borderId="8" xfId="4" applyNumberFormat="1" applyFont="1" applyFill="1" applyBorder="1"/>
    <xf numFmtId="10" fontId="11" fillId="0" borderId="8" xfId="4" applyNumberFormat="1" applyFont="1" applyFill="1" applyBorder="1"/>
    <xf numFmtId="0" fontId="24" fillId="0" borderId="38" xfId="3" applyFont="1" applyFill="1" applyBorder="1"/>
    <xf numFmtId="164" fontId="24" fillId="0" borderId="5" xfId="2" applyNumberFormat="1" applyFont="1" applyFill="1" applyBorder="1"/>
    <xf numFmtId="164" fontId="11" fillId="0" borderId="38" xfId="2" applyNumberFormat="1" applyFont="1" applyFill="1" applyBorder="1"/>
    <xf numFmtId="44" fontId="24" fillId="0" borderId="0" xfId="2" applyNumberFormat="1" applyFont="1" applyFill="1" applyBorder="1"/>
    <xf numFmtId="44" fontId="11" fillId="0" borderId="0" xfId="2" applyNumberFormat="1" applyFont="1" applyFill="1" applyBorder="1"/>
    <xf numFmtId="164" fontId="11" fillId="0" borderId="5" xfId="2" applyNumberFormat="1" applyFont="1" applyFill="1" applyBorder="1"/>
    <xf numFmtId="0" fontId="24" fillId="0" borderId="5" xfId="3" applyFont="1" applyFill="1" applyBorder="1"/>
    <xf numFmtId="164" fontId="24" fillId="0" borderId="38" xfId="2" applyNumberFormat="1" applyFont="1" applyFill="1" applyBorder="1"/>
    <xf numFmtId="44" fontId="24" fillId="0" borderId="8" xfId="2" applyNumberFormat="1" applyFont="1" applyFill="1" applyBorder="1"/>
    <xf numFmtId="164" fontId="24" fillId="0" borderId="9" xfId="2" applyNumberFormat="1" applyFont="1" applyFill="1" applyBorder="1"/>
    <xf numFmtId="164" fontId="24" fillId="0" borderId="39" xfId="3" applyNumberFormat="1" applyFont="1" applyFill="1" applyBorder="1"/>
    <xf numFmtId="164" fontId="24" fillId="0" borderId="7" xfId="3" applyNumberFormat="1" applyFont="1" applyFill="1" applyBorder="1"/>
    <xf numFmtId="164" fontId="24" fillId="0" borderId="0" xfId="3" applyNumberFormat="1" applyFont="1" applyFill="1" applyBorder="1"/>
    <xf numFmtId="164" fontId="24" fillId="0" borderId="38" xfId="3" applyNumberFormat="1" applyFont="1" applyFill="1" applyBorder="1"/>
    <xf numFmtId="9" fontId="24" fillId="0" borderId="0" xfId="4" applyFont="1" applyFill="1" applyBorder="1"/>
    <xf numFmtId="9" fontId="24" fillId="0" borderId="5" xfId="4" applyFont="1" applyFill="1" applyBorder="1"/>
    <xf numFmtId="9" fontId="24" fillId="0" borderId="8" xfId="4" applyFont="1" applyFill="1" applyBorder="1"/>
    <xf numFmtId="164" fontId="24" fillId="0" borderId="5" xfId="3" applyNumberFormat="1" applyFont="1" applyFill="1" applyBorder="1"/>
    <xf numFmtId="164" fontId="24" fillId="0" borderId="8" xfId="3" applyNumberFormat="1" applyFont="1" applyFill="1" applyBorder="1"/>
    <xf numFmtId="0" fontId="24" fillId="0" borderId="4" xfId="3" applyFont="1" applyFill="1" applyBorder="1"/>
    <xf numFmtId="164" fontId="24" fillId="0" borderId="37" xfId="2" applyNumberFormat="1" applyFont="1" applyFill="1" applyBorder="1"/>
    <xf numFmtId="164" fontId="24" fillId="0" borderId="10" xfId="2" applyNumberFormat="1" applyFont="1" applyFill="1" applyBorder="1"/>
    <xf numFmtId="164" fontId="24" fillId="0" borderId="4" xfId="2" applyNumberFormat="1" applyFont="1" applyFill="1" applyBorder="1"/>
    <xf numFmtId="165" fontId="38" fillId="0" borderId="0" xfId="1" applyNumberFormat="1" applyFont="1" applyFill="1" applyBorder="1"/>
    <xf numFmtId="165" fontId="24" fillId="0" borderId="0" xfId="3" applyNumberFormat="1" applyFont="1" applyFill="1" applyBorder="1"/>
    <xf numFmtId="171" fontId="24" fillId="0" borderId="0" xfId="1" applyNumberFormat="1" applyFont="1" applyFill="1" applyBorder="1"/>
    <xf numFmtId="10" fontId="24" fillId="0" borderId="0" xfId="3" applyNumberFormat="1" applyFont="1" applyFill="1" applyBorder="1"/>
    <xf numFmtId="10" fontId="24" fillId="0" borderId="8" xfId="3" applyNumberFormat="1" applyFont="1" applyFill="1" applyBorder="1"/>
    <xf numFmtId="0" fontId="24" fillId="0" borderId="20" xfId="3" applyFont="1" applyFill="1" applyBorder="1"/>
    <xf numFmtId="0" fontId="24" fillId="0" borderId="21" xfId="3" applyFont="1" applyFill="1" applyBorder="1"/>
    <xf numFmtId="164" fontId="24" fillId="0" borderId="22" xfId="3" applyNumberFormat="1" applyFont="1" applyFill="1" applyBorder="1"/>
    <xf numFmtId="164" fontId="24" fillId="0" borderId="21" xfId="3" applyNumberFormat="1" applyFont="1" applyFill="1" applyBorder="1"/>
    <xf numFmtId="164" fontId="24" fillId="0" borderId="71" xfId="3" applyNumberFormat="1" applyFont="1" applyFill="1" applyBorder="1"/>
    <xf numFmtId="164" fontId="24" fillId="0" borderId="2" xfId="3" applyNumberFormat="1" applyFont="1" applyFill="1" applyBorder="1"/>
    <xf numFmtId="0" fontId="55" fillId="0" borderId="0" xfId="3" applyFont="1" applyFill="1" applyBorder="1"/>
    <xf numFmtId="164" fontId="55" fillId="0" borderId="0" xfId="3" applyNumberFormat="1" applyFont="1" applyFill="1" applyBorder="1"/>
    <xf numFmtId="164" fontId="55" fillId="0" borderId="8" xfId="3" applyNumberFormat="1" applyFont="1" applyFill="1" applyBorder="1"/>
    <xf numFmtId="165" fontId="55" fillId="0" borderId="8" xfId="1" applyNumberFormat="1" applyFont="1" applyFill="1" applyBorder="1"/>
    <xf numFmtId="0" fontId="55" fillId="0" borderId="8" xfId="3" applyFont="1" applyFill="1" applyBorder="1"/>
    <xf numFmtId="0" fontId="55" fillId="0" borderId="0" xfId="3" applyFont="1" applyFill="1"/>
    <xf numFmtId="164" fontId="55" fillId="0" borderId="0" xfId="3" applyNumberFormat="1" applyFont="1" applyFill="1"/>
    <xf numFmtId="16" fontId="24" fillId="0" borderId="0" xfId="3" quotePrefix="1" applyNumberFormat="1" applyFont="1" applyFill="1"/>
    <xf numFmtId="165" fontId="24" fillId="0" borderId="0" xfId="3" applyNumberFormat="1" applyFont="1" applyFill="1"/>
    <xf numFmtId="165" fontId="24" fillId="0" borderId="9" xfId="3" applyNumberFormat="1" applyFont="1" applyFill="1" applyBorder="1"/>
    <xf numFmtId="0" fontId="41" fillId="0" borderId="0" xfId="3" applyFont="1" applyFill="1"/>
    <xf numFmtId="165" fontId="24" fillId="0" borderId="4" xfId="3" quotePrefix="1" applyNumberFormat="1" applyFont="1" applyFill="1" applyBorder="1" applyAlignment="1">
      <alignment horizontal="center"/>
    </xf>
    <xf numFmtId="0" fontId="24" fillId="0" borderId="4" xfId="3" applyFont="1" applyFill="1" applyBorder="1" applyAlignment="1">
      <alignment horizontal="center"/>
    </xf>
    <xf numFmtId="164" fontId="24" fillId="0" borderId="0" xfId="3" applyNumberFormat="1" applyFont="1" applyFill="1"/>
    <xf numFmtId="167" fontId="24" fillId="0" borderId="0" xfId="4" applyNumberFormat="1" applyFont="1" applyFill="1"/>
    <xf numFmtId="167" fontId="24" fillId="0" borderId="8" xfId="4" applyNumberFormat="1" applyFont="1" applyFill="1" applyBorder="1"/>
    <xf numFmtId="10" fontId="24" fillId="0" borderId="0" xfId="4" applyNumberFormat="1" applyFont="1" applyFill="1" applyBorder="1"/>
    <xf numFmtId="10" fontId="24" fillId="0" borderId="8" xfId="4" applyNumberFormat="1" applyFont="1" applyFill="1" applyBorder="1"/>
    <xf numFmtId="164" fontId="38" fillId="0" borderId="0" xfId="2" applyNumberFormat="1" applyFont="1" applyFill="1" applyBorder="1"/>
    <xf numFmtId="0" fontId="42" fillId="0" borderId="0" xfId="3" applyFont="1" applyFill="1" applyBorder="1" applyAlignment="1">
      <alignment horizontal="center"/>
    </xf>
    <xf numFmtId="0" fontId="42" fillId="0" borderId="8" xfId="3" applyFont="1" applyFill="1" applyBorder="1" applyAlignment="1">
      <alignment horizontal="center"/>
    </xf>
    <xf numFmtId="14" fontId="24" fillId="0" borderId="0" xfId="3" applyNumberFormat="1" applyFont="1" applyFill="1" applyBorder="1"/>
    <xf numFmtId="6" fontId="44" fillId="0" borderId="0" xfId="0" applyNumberFormat="1" applyFont="1" applyFill="1" applyBorder="1"/>
    <xf numFmtId="164" fontId="24" fillId="0" borderId="9" xfId="3" applyNumberFormat="1" applyFont="1" applyFill="1" applyBorder="1"/>
    <xf numFmtId="164" fontId="24" fillId="0" borderId="4" xfId="3" applyNumberFormat="1" applyFont="1" applyFill="1" applyBorder="1"/>
    <xf numFmtId="164" fontId="24" fillId="0" borderId="27" xfId="3" applyNumberFormat="1" applyFont="1" applyFill="1" applyBorder="1"/>
    <xf numFmtId="44" fontId="24" fillId="0" borderId="0" xfId="3" applyNumberFormat="1" applyFont="1" applyFill="1"/>
    <xf numFmtId="165" fontId="24" fillId="0" borderId="9" xfId="1" applyNumberFormat="1" applyFont="1" applyFill="1" applyBorder="1"/>
    <xf numFmtId="0" fontId="24" fillId="0" borderId="9" xfId="3" applyFont="1" applyFill="1" applyBorder="1"/>
    <xf numFmtId="43" fontId="24" fillId="0" borderId="0" xfId="3" applyNumberFormat="1" applyFont="1" applyFill="1"/>
    <xf numFmtId="3" fontId="82" fillId="0" borderId="100" xfId="0" applyNumberFormat="1" applyFont="1" applyFill="1" applyBorder="1" applyAlignment="1">
      <alignment horizontal="center"/>
    </xf>
    <xf numFmtId="3" fontId="83" fillId="0" borderId="101" xfId="0" applyNumberFormat="1" applyFont="1" applyFill="1" applyBorder="1" applyAlignment="1">
      <alignment horizontal="center"/>
    </xf>
    <xf numFmtId="0" fontId="84" fillId="0" borderId="102" xfId="0" applyFont="1" applyBorder="1"/>
    <xf numFmtId="164" fontId="84" fillId="0" borderId="103" xfId="2" applyNumberFormat="1" applyFont="1" applyFill="1" applyBorder="1"/>
    <xf numFmtId="3" fontId="84" fillId="0" borderId="104" xfId="0" applyNumberFormat="1" applyFont="1" applyBorder="1"/>
    <xf numFmtId="3" fontId="84" fillId="0" borderId="102" xfId="0" applyNumberFormat="1" applyFont="1" applyBorder="1"/>
    <xf numFmtId="164" fontId="84" fillId="0" borderId="102" xfId="2" applyNumberFormat="1" applyFont="1" applyFill="1" applyBorder="1"/>
    <xf numFmtId="3" fontId="84" fillId="0" borderId="105" xfId="0" applyNumberFormat="1" applyFont="1" applyBorder="1"/>
    <xf numFmtId="3" fontId="13" fillId="0" borderId="106" xfId="0" applyNumberFormat="1" applyFont="1" applyFill="1" applyBorder="1" applyAlignment="1">
      <alignment horizontal="center"/>
    </xf>
    <xf numFmtId="3" fontId="27" fillId="0" borderId="16" xfId="0" applyNumberFormat="1" applyFont="1" applyFill="1" applyBorder="1" applyAlignment="1">
      <alignment horizontal="center"/>
    </xf>
    <xf numFmtId="3" fontId="13" fillId="0" borderId="99" xfId="0" applyNumberFormat="1" applyFont="1" applyFill="1" applyBorder="1" applyAlignment="1">
      <alignment horizontal="center"/>
    </xf>
    <xf numFmtId="3" fontId="14" fillId="0" borderId="82" xfId="0" applyNumberFormat="1" applyFont="1" applyBorder="1"/>
    <xf numFmtId="165" fontId="14" fillId="0" borderId="4" xfId="1" applyNumberFormat="1" applyFont="1" applyFill="1" applyBorder="1"/>
    <xf numFmtId="0" fontId="14" fillId="0" borderId="17" xfId="0" applyFont="1" applyFill="1" applyBorder="1"/>
    <xf numFmtId="3" fontId="13" fillId="0" borderId="108" xfId="0" applyNumberFormat="1" applyFont="1" applyFill="1" applyBorder="1" applyAlignment="1">
      <alignment horizontal="center"/>
    </xf>
    <xf numFmtId="0" fontId="14" fillId="0" borderId="109" xfId="0" applyFont="1" applyFill="1" applyBorder="1"/>
    <xf numFmtId="164" fontId="14" fillId="0" borderId="109" xfId="2" applyNumberFormat="1" applyFont="1" applyFill="1" applyBorder="1"/>
    <xf numFmtId="165" fontId="14" fillId="0" borderId="109" xfId="1" applyNumberFormat="1" applyFont="1" applyFill="1" applyBorder="1"/>
    <xf numFmtId="165" fontId="14" fillId="0" borderId="110" xfId="1" applyNumberFormat="1" applyFont="1" applyFill="1" applyBorder="1"/>
    <xf numFmtId="164" fontId="14" fillId="0" borderId="111" xfId="2" applyNumberFormat="1" applyFont="1" applyFill="1" applyBorder="1"/>
    <xf numFmtId="165" fontId="14" fillId="0" borderId="109" xfId="0" applyNumberFormat="1" applyFont="1" applyFill="1" applyBorder="1"/>
    <xf numFmtId="3" fontId="14" fillId="0" borderId="112" xfId="0" applyNumberFormat="1" applyFont="1" applyFill="1" applyBorder="1"/>
    <xf numFmtId="3" fontId="14" fillId="0" borderId="109" xfId="0" applyNumberFormat="1" applyFont="1" applyFill="1" applyBorder="1"/>
    <xf numFmtId="3" fontId="14" fillId="0" borderId="113" xfId="0" applyNumberFormat="1" applyFont="1" applyFill="1" applyBorder="1"/>
    <xf numFmtId="0" fontId="0" fillId="4" borderId="0" xfId="0" applyFont="1" applyFill="1"/>
    <xf numFmtId="43" fontId="0" fillId="0" borderId="0" xfId="1" applyFont="1" applyFill="1"/>
    <xf numFmtId="165" fontId="11" fillId="4" borderId="0" xfId="1" applyNumberFormat="1" applyFont="1" applyFill="1"/>
    <xf numFmtId="0" fontId="11" fillId="4" borderId="0" xfId="0" applyFont="1" applyFill="1" applyAlignment="1">
      <alignment horizontal="center"/>
    </xf>
    <xf numFmtId="44" fontId="11" fillId="4" borderId="0" xfId="2" applyFont="1" applyFill="1" applyAlignment="1">
      <alignment horizontal="center"/>
    </xf>
    <xf numFmtId="10" fontId="11" fillId="4" borderId="0" xfId="0" applyNumberFormat="1" applyFont="1" applyFill="1" applyAlignment="1">
      <alignment horizontal="center"/>
    </xf>
    <xf numFmtId="10" fontId="24" fillId="4" borderId="0" xfId="4" applyNumberFormat="1" applyFont="1" applyFill="1"/>
    <xf numFmtId="9" fontId="11" fillId="4" borderId="0" xfId="4" applyFont="1" applyFill="1" applyAlignment="1">
      <alignment horizontal="center"/>
    </xf>
    <xf numFmtId="10" fontId="11" fillId="4" borderId="0" xfId="4" applyNumberFormat="1" applyFont="1" applyFill="1" applyAlignment="1">
      <alignment horizontal="center"/>
    </xf>
    <xf numFmtId="10" fontId="0" fillId="4" borderId="0" xfId="0" applyNumberFormat="1" applyFont="1" applyFill="1" applyAlignment="1">
      <alignment horizontal="center"/>
    </xf>
    <xf numFmtId="0" fontId="0" fillId="4" borderId="14" xfId="0" applyFill="1" applyBorder="1"/>
    <xf numFmtId="0" fontId="0" fillId="4" borderId="0" xfId="0" applyFill="1" applyBorder="1"/>
    <xf numFmtId="165" fontId="0" fillId="4" borderId="9" xfId="1" applyNumberFormat="1" applyFont="1" applyFill="1" applyBorder="1"/>
    <xf numFmtId="165" fontId="0" fillId="4" borderId="34" xfId="1" applyNumberFormat="1" applyFont="1" applyFill="1" applyBorder="1"/>
    <xf numFmtId="9" fontId="0" fillId="4" borderId="0" xfId="4" applyFont="1" applyFill="1"/>
    <xf numFmtId="165" fontId="0" fillId="4" borderId="0" xfId="0" applyNumberFormat="1" applyFill="1"/>
    <xf numFmtId="167" fontId="11" fillId="4" borderId="0" xfId="0" applyNumberFormat="1" applyFont="1" applyFill="1" applyAlignment="1">
      <alignment horizontal="center"/>
    </xf>
    <xf numFmtId="0" fontId="24" fillId="4" borderId="0" xfId="3" applyFont="1" applyFill="1" applyBorder="1"/>
    <xf numFmtId="0" fontId="0" fillId="13" borderId="72" xfId="0" applyFill="1" applyBorder="1"/>
    <xf numFmtId="16" fontId="13" fillId="13" borderId="55" xfId="0" quotePrefix="1" applyNumberFormat="1" applyFont="1" applyFill="1" applyBorder="1" applyAlignment="1">
      <alignment horizontal="center"/>
    </xf>
    <xf numFmtId="165" fontId="0" fillId="13" borderId="55" xfId="1" applyNumberFormat="1" applyFont="1" applyFill="1" applyBorder="1" applyAlignment="1">
      <alignment horizontal="center"/>
    </xf>
    <xf numFmtId="165" fontId="0" fillId="13" borderId="54" xfId="1" applyNumberFormat="1" applyFont="1" applyFill="1" applyBorder="1" applyAlignment="1">
      <alignment horizontal="center"/>
    </xf>
    <xf numFmtId="165" fontId="0" fillId="13" borderId="0" xfId="1" applyNumberFormat="1" applyFont="1" applyFill="1" applyBorder="1" applyAlignment="1">
      <alignment horizontal="center"/>
    </xf>
    <xf numFmtId="0" fontId="24" fillId="14" borderId="99" xfId="3" applyFont="1" applyFill="1" applyBorder="1"/>
    <xf numFmtId="165" fontId="24" fillId="14" borderId="83" xfId="1" applyNumberFormat="1" applyFont="1" applyFill="1" applyBorder="1" applyAlignment="1">
      <alignment horizontal="center"/>
    </xf>
    <xf numFmtId="165" fontId="24" fillId="14" borderId="82" xfId="1" applyNumberFormat="1" applyFont="1" applyFill="1" applyBorder="1"/>
    <xf numFmtId="37" fontId="24" fillId="14" borderId="82" xfId="3" applyNumberFormat="1" applyFont="1" applyFill="1" applyBorder="1"/>
    <xf numFmtId="167" fontId="11" fillId="14" borderId="82" xfId="4" applyNumberFormat="1" applyFont="1" applyFill="1" applyBorder="1"/>
    <xf numFmtId="164" fontId="24" fillId="14" borderId="82" xfId="2" applyNumberFormat="1" applyFont="1" applyFill="1" applyBorder="1"/>
    <xf numFmtId="164" fontId="11" fillId="14" borderId="82" xfId="2" applyNumberFormat="1" applyFont="1" applyFill="1" applyBorder="1"/>
    <xf numFmtId="0" fontId="24" fillId="14" borderId="82" xfId="3" applyFont="1" applyFill="1" applyBorder="1"/>
    <xf numFmtId="164" fontId="24" fillId="14" borderId="85" xfId="3" applyNumberFormat="1" applyFont="1" applyFill="1" applyBorder="1"/>
    <xf numFmtId="9" fontId="24" fillId="14" borderId="82" xfId="4" applyFont="1" applyFill="1" applyBorder="1"/>
    <xf numFmtId="164" fontId="24" fillId="14" borderId="82" xfId="3" applyNumberFormat="1" applyFont="1" applyFill="1" applyBorder="1"/>
    <xf numFmtId="164" fontId="24" fillId="14" borderId="83" xfId="2" applyNumberFormat="1" applyFont="1" applyFill="1" applyBorder="1"/>
    <xf numFmtId="10" fontId="24" fillId="14" borderId="82" xfId="3" applyNumberFormat="1" applyFont="1" applyFill="1" applyBorder="1"/>
    <xf numFmtId="164" fontId="24" fillId="14" borderId="81" xfId="3" applyNumberFormat="1" applyFont="1" applyFill="1" applyBorder="1"/>
    <xf numFmtId="0" fontId="55" fillId="14" borderId="82" xfId="3" applyFont="1" applyFill="1" applyBorder="1"/>
    <xf numFmtId="0" fontId="24" fillId="14" borderId="83" xfId="3" applyFont="1" applyFill="1" applyBorder="1" applyAlignment="1">
      <alignment horizontal="center"/>
    </xf>
    <xf numFmtId="10" fontId="24" fillId="14" borderId="82" xfId="4" applyNumberFormat="1" applyFont="1" applyFill="1" applyBorder="1"/>
    <xf numFmtId="0" fontId="42" fillId="14" borderId="82" xfId="3" applyFont="1" applyFill="1" applyBorder="1" applyAlignment="1">
      <alignment horizontal="center"/>
    </xf>
    <xf numFmtId="164" fontId="24" fillId="14" borderId="83" xfId="3" applyNumberFormat="1" applyFont="1" applyFill="1" applyBorder="1"/>
    <xf numFmtId="164" fontId="24" fillId="14" borderId="86" xfId="3" applyNumberFormat="1" applyFont="1" applyFill="1" applyBorder="1"/>
    <xf numFmtId="10" fontId="11" fillId="14" borderId="0" xfId="4" applyNumberFormat="1" applyFont="1" applyFill="1" applyAlignment="1">
      <alignment horizontal="left"/>
    </xf>
    <xf numFmtId="43" fontId="24" fillId="0" borderId="0" xfId="1" applyFont="1" applyFill="1"/>
    <xf numFmtId="0" fontId="103" fillId="0" borderId="0" xfId="3" applyFont="1" applyFill="1"/>
    <xf numFmtId="9" fontId="103" fillId="0" borderId="0" xfId="3" applyNumberFormat="1" applyFont="1" applyFill="1"/>
    <xf numFmtId="43" fontId="103" fillId="0" borderId="0" xfId="3" applyNumberFormat="1" applyFont="1" applyFill="1"/>
    <xf numFmtId="43" fontId="103" fillId="0" borderId="0" xfId="1" applyFont="1" applyFill="1"/>
    <xf numFmtId="44" fontId="103" fillId="0" borderId="0" xfId="2" applyFont="1" applyFill="1"/>
    <xf numFmtId="164" fontId="24" fillId="0" borderId="114" xfId="3" applyNumberFormat="1" applyFont="1" applyFill="1" applyBorder="1"/>
    <xf numFmtId="164" fontId="24" fillId="0" borderId="114" xfId="2" applyNumberFormat="1" applyFont="1" applyFill="1" applyBorder="1"/>
    <xf numFmtId="164" fontId="24" fillId="0" borderId="115" xfId="3" applyNumberFormat="1" applyFont="1" applyFill="1" applyBorder="1"/>
    <xf numFmtId="10" fontId="24" fillId="0" borderId="115" xfId="3" applyNumberFormat="1" applyFont="1" applyFill="1" applyBorder="1"/>
    <xf numFmtId="165" fontId="24" fillId="0" borderId="114" xfId="1" applyNumberFormat="1" applyFont="1" applyFill="1" applyBorder="1" applyAlignment="1">
      <alignment horizontal="center"/>
    </xf>
    <xf numFmtId="164" fontId="24" fillId="0" borderId="116" xfId="3" applyNumberFormat="1" applyFont="1" applyFill="1" applyBorder="1"/>
    <xf numFmtId="165" fontId="24" fillId="16" borderId="0" xfId="1" applyNumberFormat="1" applyFont="1" applyFill="1"/>
    <xf numFmtId="165" fontId="24" fillId="16" borderId="9" xfId="1" applyNumberFormat="1" applyFont="1" applyFill="1" applyBorder="1"/>
    <xf numFmtId="165" fontId="41" fillId="16" borderId="0" xfId="1" applyNumberFormat="1" applyFont="1" applyFill="1"/>
    <xf numFmtId="164" fontId="24" fillId="16" borderId="0" xfId="2" applyNumberFormat="1" applyFont="1" applyFill="1" applyBorder="1"/>
    <xf numFmtId="44" fontId="24" fillId="0" borderId="22" xfId="3" applyNumberFormat="1" applyFont="1" applyFill="1" applyBorder="1"/>
    <xf numFmtId="164" fontId="24" fillId="17" borderId="114" xfId="3" applyNumberFormat="1" applyFont="1" applyFill="1" applyBorder="1"/>
    <xf numFmtId="164" fontId="24" fillId="15" borderId="0" xfId="3" applyNumberFormat="1" applyFont="1" applyFill="1" applyBorder="1"/>
    <xf numFmtId="0" fontId="24" fillId="0" borderId="114" xfId="3" applyFont="1" applyFill="1" applyBorder="1" applyAlignment="1">
      <alignment horizontal="center"/>
    </xf>
    <xf numFmtId="44" fontId="24" fillId="0" borderId="5" xfId="2" applyNumberFormat="1" applyFont="1" applyFill="1" applyBorder="1"/>
    <xf numFmtId="165" fontId="14" fillId="16" borderId="82" xfId="1" applyNumberFormat="1" applyFont="1" applyFill="1" applyBorder="1"/>
    <xf numFmtId="164" fontId="14" fillId="15" borderId="82" xfId="2" applyNumberFormat="1" applyFont="1" applyFill="1" applyBorder="1"/>
    <xf numFmtId="0" fontId="104" fillId="0" borderId="0" xfId="3" applyFont="1" applyFill="1"/>
    <xf numFmtId="43" fontId="14" fillId="0" borderId="0" xfId="1" applyFont="1" applyFill="1"/>
    <xf numFmtId="165" fontId="14" fillId="14" borderId="82" xfId="1" applyNumberFormat="1" applyFont="1" applyFill="1" applyBorder="1"/>
    <xf numFmtId="165" fontId="14" fillId="14" borderId="83" xfId="1" applyNumberFormat="1" applyFont="1" applyFill="1" applyBorder="1"/>
    <xf numFmtId="0" fontId="0" fillId="14" borderId="0" xfId="0" applyFont="1" applyFill="1"/>
    <xf numFmtId="0" fontId="0" fillId="14" borderId="0" xfId="0" applyFill="1" applyAlignment="1">
      <alignment horizontal="left"/>
    </xf>
    <xf numFmtId="0" fontId="0" fillId="0" borderId="0" xfId="0" applyFont="1" applyAlignment="1">
      <alignment horizontal="left" indent="1"/>
    </xf>
    <xf numFmtId="0" fontId="0" fillId="0" borderId="0" xfId="0" applyFont="1" applyFill="1" applyBorder="1" applyAlignment="1">
      <alignment horizontal="center"/>
    </xf>
    <xf numFmtId="164" fontId="13" fillId="0" borderId="0" xfId="2" applyNumberFormat="1" applyFont="1" applyBorder="1"/>
    <xf numFmtId="0" fontId="14" fillId="0" borderId="0" xfId="0" applyFont="1"/>
    <xf numFmtId="0" fontId="16" fillId="0" borderId="48" xfId="0" applyFont="1" applyBorder="1"/>
    <xf numFmtId="0" fontId="16" fillId="0" borderId="18" xfId="0" applyFont="1" applyBorder="1"/>
    <xf numFmtId="165" fontId="16" fillId="0" borderId="0" xfId="1" applyNumberFormat="1" applyFont="1" applyBorder="1"/>
    <xf numFmtId="164" fontId="16" fillId="0" borderId="0" xfId="2" applyNumberFormat="1" applyFont="1" applyBorder="1"/>
    <xf numFmtId="164" fontId="16" fillId="0" borderId="9" xfId="2" applyNumberFormat="1" applyFont="1" applyBorder="1"/>
    <xf numFmtId="164" fontId="16" fillId="0" borderId="34" xfId="2" applyNumberFormat="1" applyFont="1" applyBorder="1"/>
    <xf numFmtId="164" fontId="16" fillId="0" borderId="15" xfId="2" applyNumberFormat="1" applyFont="1" applyBorder="1"/>
    <xf numFmtId="164" fontId="11" fillId="0" borderId="0" xfId="0" applyNumberFormat="1" applyFont="1" applyBorder="1"/>
    <xf numFmtId="164" fontId="11" fillId="0" borderId="15" xfId="0" applyNumberFormat="1" applyFont="1" applyBorder="1"/>
    <xf numFmtId="164" fontId="16" fillId="0" borderId="0" xfId="2" applyNumberFormat="1" applyFont="1"/>
    <xf numFmtId="164" fontId="16" fillId="0" borderId="0" xfId="0" applyNumberFormat="1" applyFont="1"/>
    <xf numFmtId="10" fontId="11" fillId="14" borderId="0" xfId="4" applyNumberFormat="1" applyFont="1" applyFill="1" applyAlignment="1">
      <alignment horizontal="center"/>
    </xf>
    <xf numFmtId="10" fontId="0" fillId="14" borderId="0" xfId="4" applyNumberFormat="1" applyFont="1" applyFill="1"/>
    <xf numFmtId="166" fontId="11" fillId="0" borderId="87" xfId="0" applyNumberFormat="1" applyFont="1" applyBorder="1"/>
    <xf numFmtId="166" fontId="11" fillId="0" borderId="117" xfId="0" applyNumberFormat="1" applyFont="1" applyBorder="1"/>
    <xf numFmtId="165" fontId="11" fillId="0" borderId="87" xfId="1" applyNumberFormat="1" applyFont="1" applyBorder="1"/>
    <xf numFmtId="165" fontId="11" fillId="0" borderId="117" xfId="1" applyNumberFormat="1" applyFont="1" applyBorder="1"/>
    <xf numFmtId="165" fontId="11" fillId="0" borderId="91" xfId="1" applyNumberFormat="1" applyFont="1" applyBorder="1"/>
    <xf numFmtId="165" fontId="11" fillId="0" borderId="118" xfId="1" applyNumberFormat="1" applyFont="1" applyBorder="1"/>
    <xf numFmtId="0" fontId="11" fillId="0" borderId="87" xfId="0" applyFont="1" applyBorder="1"/>
    <xf numFmtId="0" fontId="11" fillId="0" borderId="117" xfId="0" applyFont="1" applyBorder="1"/>
    <xf numFmtId="164" fontId="11" fillId="0" borderId="92" xfId="2" applyNumberFormat="1" applyFont="1" applyFill="1" applyBorder="1"/>
    <xf numFmtId="164" fontId="11" fillId="0" borderId="119" xfId="2" applyNumberFormat="1" applyFont="1" applyFill="1" applyBorder="1"/>
    <xf numFmtId="44" fontId="24" fillId="14" borderId="82" xfId="2" applyNumberFormat="1" applyFont="1" applyFill="1" applyBorder="1"/>
    <xf numFmtId="44" fontId="24" fillId="14" borderId="81" xfId="3" applyNumberFormat="1" applyFont="1" applyFill="1" applyBorder="1"/>
    <xf numFmtId="165" fontId="14" fillId="18" borderId="82" xfId="1" applyNumberFormat="1" applyFont="1" applyFill="1" applyBorder="1"/>
    <xf numFmtId="164" fontId="24" fillId="18" borderId="8" xfId="2" applyNumberFormat="1" applyFont="1" applyFill="1" applyBorder="1"/>
    <xf numFmtId="164" fontId="24" fillId="18" borderId="82" xfId="2" applyNumberFormat="1" applyFont="1" applyFill="1" applyBorder="1"/>
    <xf numFmtId="164" fontId="14" fillId="20" borderId="0" xfId="2" applyNumberFormat="1" applyFont="1" applyFill="1" applyBorder="1"/>
    <xf numFmtId="0" fontId="15" fillId="20" borderId="0" xfId="0" applyFont="1" applyFill="1"/>
    <xf numFmtId="0" fontId="14" fillId="20" borderId="0" xfId="0" applyFont="1" applyFill="1"/>
    <xf numFmtId="0" fontId="14" fillId="20" borderId="1" xfId="0" applyFont="1" applyFill="1" applyBorder="1"/>
    <xf numFmtId="0" fontId="14" fillId="20" borderId="2" xfId="0" applyFont="1" applyFill="1" applyBorder="1" applyAlignment="1">
      <alignment horizontal="center"/>
    </xf>
    <xf numFmtId="0" fontId="14" fillId="20" borderId="3" xfId="0" applyFont="1" applyFill="1" applyBorder="1" applyAlignment="1">
      <alignment horizontal="center"/>
    </xf>
    <xf numFmtId="0" fontId="11" fillId="20" borderId="8" xfId="0" applyFont="1" applyFill="1" applyBorder="1"/>
    <xf numFmtId="165" fontId="14" fillId="20" borderId="0" xfId="1" applyNumberFormat="1" applyFont="1" applyFill="1" applyBorder="1"/>
    <xf numFmtId="0" fontId="14" fillId="20" borderId="0" xfId="0" applyFont="1" applyFill="1" applyBorder="1"/>
    <xf numFmtId="165" fontId="14" fillId="20" borderId="5" xfId="0" applyNumberFormat="1" applyFont="1" applyFill="1" applyBorder="1"/>
    <xf numFmtId="165" fontId="14" fillId="20" borderId="0" xfId="0" applyNumberFormat="1" applyFont="1" applyFill="1" applyBorder="1"/>
    <xf numFmtId="0" fontId="11" fillId="20" borderId="4" xfId="0" applyFont="1" applyFill="1" applyBorder="1"/>
    <xf numFmtId="165" fontId="14" fillId="20" borderId="9" xfId="0" applyNumberFormat="1" applyFont="1" applyFill="1" applyBorder="1"/>
    <xf numFmtId="0" fontId="14" fillId="20" borderId="9" xfId="0" applyFont="1" applyFill="1" applyBorder="1"/>
    <xf numFmtId="165" fontId="14" fillId="20" borderId="10" xfId="0" applyNumberFormat="1" applyFont="1" applyFill="1" applyBorder="1"/>
    <xf numFmtId="164" fontId="58" fillId="20" borderId="0" xfId="2" applyNumberFormat="1" applyFont="1" applyFill="1"/>
    <xf numFmtId="164" fontId="14" fillId="20" borderId="6" xfId="2" applyNumberFormat="1" applyFont="1" applyFill="1" applyBorder="1"/>
    <xf numFmtId="0" fontId="14" fillId="20" borderId="6" xfId="0" applyFont="1" applyFill="1" applyBorder="1"/>
    <xf numFmtId="164" fontId="14" fillId="20" borderId="7" xfId="0" applyNumberFormat="1" applyFont="1" applyFill="1" applyBorder="1"/>
    <xf numFmtId="164" fontId="14" fillId="20" borderId="9" xfId="2" applyNumberFormat="1" applyFont="1" applyFill="1" applyBorder="1"/>
    <xf numFmtId="164" fontId="14" fillId="20" borderId="10" xfId="0" applyNumberFormat="1" applyFont="1" applyFill="1" applyBorder="1"/>
    <xf numFmtId="0" fontId="11" fillId="20" borderId="0" xfId="0" applyFont="1" applyFill="1" applyAlignment="1">
      <alignment horizontal="left" indent="1"/>
    </xf>
    <xf numFmtId="43" fontId="14" fillId="20" borderId="0" xfId="0" applyNumberFormat="1" applyFont="1" applyFill="1"/>
    <xf numFmtId="0" fontId="15" fillId="20" borderId="0" xfId="0" applyFont="1" applyFill="1" applyAlignment="1"/>
    <xf numFmtId="0" fontId="14" fillId="20" borderId="6" xfId="0" applyFont="1" applyFill="1" applyBorder="1" applyAlignment="1">
      <alignment horizontal="center"/>
    </xf>
    <xf numFmtId="0" fontId="14" fillId="20" borderId="7" xfId="0" applyFont="1" applyFill="1" applyBorder="1" applyAlignment="1">
      <alignment horizontal="center"/>
    </xf>
    <xf numFmtId="0" fontId="14" fillId="20" borderId="8" xfId="0" applyFont="1" applyFill="1" applyBorder="1"/>
    <xf numFmtId="164" fontId="14" fillId="20" borderId="5" xfId="0" applyNumberFormat="1" applyFont="1" applyFill="1" applyBorder="1"/>
    <xf numFmtId="164" fontId="14" fillId="20" borderId="9" xfId="0" applyNumberFormat="1" applyFont="1" applyFill="1" applyBorder="1"/>
    <xf numFmtId="164" fontId="63" fillId="0" borderId="0" xfId="2" applyNumberFormat="1" applyFont="1" applyBorder="1"/>
    <xf numFmtId="164" fontId="63" fillId="0" borderId="5" xfId="2" applyNumberFormat="1" applyFont="1" applyBorder="1"/>
    <xf numFmtId="164" fontId="63" fillId="0" borderId="0" xfId="0" applyNumberFormat="1" applyFont="1"/>
    <xf numFmtId="44" fontId="14" fillId="0" borderId="9" xfId="2" applyNumberFormat="1" applyFont="1" applyBorder="1"/>
    <xf numFmtId="0" fontId="11" fillId="20" borderId="0" xfId="0" applyFont="1" applyFill="1"/>
    <xf numFmtId="165" fontId="14" fillId="20" borderId="0" xfId="1" applyNumberFormat="1" applyFont="1" applyFill="1"/>
    <xf numFmtId="0" fontId="0" fillId="20" borderId="0" xfId="0" applyFont="1" applyFill="1"/>
    <xf numFmtId="165" fontId="14" fillId="20" borderId="0" xfId="0" applyNumberFormat="1" applyFont="1" applyFill="1"/>
    <xf numFmtId="166" fontId="11" fillId="0" borderId="15" xfId="0" applyNumberFormat="1" applyFont="1" applyFill="1" applyBorder="1"/>
    <xf numFmtId="165" fontId="11" fillId="0" borderId="15" xfId="1" applyNumberFormat="1" applyFont="1" applyFill="1" applyBorder="1"/>
    <xf numFmtId="165" fontId="11" fillId="0" borderId="34" xfId="1" applyNumberFormat="1" applyFont="1" applyFill="1" applyBorder="1"/>
    <xf numFmtId="0" fontId="11" fillId="0" borderId="15" xfId="0" applyFont="1" applyFill="1" applyBorder="1"/>
    <xf numFmtId="164" fontId="11" fillId="0" borderId="66" xfId="2" applyNumberFormat="1" applyFont="1" applyFill="1" applyBorder="1"/>
    <xf numFmtId="3" fontId="13" fillId="14" borderId="99" xfId="0" applyNumberFormat="1" applyFont="1" applyFill="1" applyBorder="1" applyAlignment="1">
      <alignment horizontal="center"/>
    </xf>
    <xf numFmtId="3" fontId="27" fillId="14" borderId="81" xfId="0" applyNumberFormat="1" applyFont="1" applyFill="1" applyBorder="1" applyAlignment="1">
      <alignment horizontal="center"/>
    </xf>
    <xf numFmtId="0" fontId="14" fillId="14" borderId="82" xfId="0" applyFont="1" applyFill="1" applyBorder="1"/>
    <xf numFmtId="166" fontId="14" fillId="14" borderId="82" xfId="0" applyNumberFormat="1" applyFont="1" applyFill="1" applyBorder="1"/>
    <xf numFmtId="164" fontId="14" fillId="14" borderId="84" xfId="2" applyNumberFormat="1" applyFont="1" applyFill="1" applyBorder="1"/>
    <xf numFmtId="0" fontId="13" fillId="14" borderId="0" xfId="0" applyFont="1" applyFill="1"/>
    <xf numFmtId="164" fontId="0" fillId="21" borderId="0" xfId="0" applyNumberFormat="1" applyFill="1"/>
    <xf numFmtId="44" fontId="24" fillId="0" borderId="71" xfId="3" applyNumberFormat="1" applyFont="1" applyFill="1" applyBorder="1"/>
    <xf numFmtId="165" fontId="63" fillId="0" borderId="15" xfId="1" applyNumberFormat="1" applyFont="1" applyFill="1" applyBorder="1"/>
    <xf numFmtId="0" fontId="11" fillId="20" borderId="0" xfId="0" applyFont="1" applyFill="1" applyBorder="1"/>
    <xf numFmtId="0" fontId="14" fillId="20" borderId="0" xfId="0" applyFont="1" applyFill="1" applyAlignment="1">
      <alignment horizontal="center"/>
    </xf>
    <xf numFmtId="164" fontId="14" fillId="20" borderId="2" xfId="0" applyNumberFormat="1" applyFont="1" applyFill="1" applyBorder="1"/>
    <xf numFmtId="164" fontId="14" fillId="20" borderId="3" xfId="0" applyNumberFormat="1" applyFont="1" applyFill="1" applyBorder="1"/>
    <xf numFmtId="0" fontId="6" fillId="0" borderId="0" xfId="25"/>
    <xf numFmtId="0" fontId="6" fillId="0" borderId="0" xfId="25" quotePrefix="1"/>
    <xf numFmtId="0" fontId="6" fillId="0" borderId="0" xfId="25" applyBorder="1"/>
    <xf numFmtId="0" fontId="6" fillId="0" borderId="11" xfId="25" applyBorder="1"/>
    <xf numFmtId="0" fontId="6" fillId="0" borderId="12" xfId="25" applyBorder="1"/>
    <xf numFmtId="0" fontId="6" fillId="0" borderId="23" xfId="25" applyBorder="1"/>
    <xf numFmtId="0" fontId="6" fillId="0" borderId="24" xfId="25" applyBorder="1"/>
    <xf numFmtId="0" fontId="6" fillId="0" borderId="20" xfId="25" applyBorder="1"/>
    <xf numFmtId="0" fontId="6" fillId="0" borderId="21" xfId="25" applyBorder="1"/>
    <xf numFmtId="0" fontId="6" fillId="18" borderId="24" xfId="25" applyFill="1" applyBorder="1"/>
    <xf numFmtId="0" fontId="6" fillId="0" borderId="24" xfId="25" applyFill="1" applyBorder="1" applyAlignment="1">
      <alignment wrapText="1"/>
    </xf>
    <xf numFmtId="0" fontId="6" fillId="22" borderId="24" xfId="25" applyFill="1" applyBorder="1"/>
    <xf numFmtId="0" fontId="106" fillId="22" borderId="24" xfId="25" applyFont="1" applyFill="1" applyBorder="1" applyAlignment="1">
      <alignment wrapText="1"/>
    </xf>
    <xf numFmtId="0" fontId="6" fillId="0" borderId="0" xfId="25" applyAlignment="1">
      <alignment horizontal="left"/>
    </xf>
    <xf numFmtId="165" fontId="0" fillId="4" borderId="11" xfId="26" applyNumberFormat="1" applyFont="1" applyFill="1" applyBorder="1"/>
    <xf numFmtId="165" fontId="0" fillId="4" borderId="12" xfId="26" applyNumberFormat="1" applyFont="1" applyFill="1" applyBorder="1"/>
    <xf numFmtId="165" fontId="0" fillId="4" borderId="23" xfId="26" applyNumberFormat="1" applyFont="1" applyFill="1" applyBorder="1"/>
    <xf numFmtId="165" fontId="0" fillId="19" borderId="29" xfId="26" applyNumberFormat="1" applyFont="1" applyFill="1" applyBorder="1"/>
    <xf numFmtId="165" fontId="101" fillId="4" borderId="29" xfId="26" applyNumberFormat="1" applyFont="1" applyFill="1" applyBorder="1"/>
    <xf numFmtId="165" fontId="0" fillId="4" borderId="14" xfId="26" applyNumberFormat="1" applyFont="1" applyFill="1" applyBorder="1"/>
    <xf numFmtId="165" fontId="0" fillId="0" borderId="0" xfId="26" applyNumberFormat="1" applyFont="1" applyBorder="1"/>
    <xf numFmtId="165" fontId="0" fillId="0" borderId="29" xfId="26" applyNumberFormat="1" applyFont="1" applyBorder="1"/>
    <xf numFmtId="165" fontId="6" fillId="18" borderId="11" xfId="25" applyNumberFormat="1" applyFill="1" applyBorder="1"/>
    <xf numFmtId="165" fontId="6" fillId="18" borderId="23" xfId="25" applyNumberFormat="1" applyFill="1" applyBorder="1"/>
    <xf numFmtId="165" fontId="6" fillId="0" borderId="29" xfId="25" applyNumberFormat="1" applyBorder="1"/>
    <xf numFmtId="165" fontId="0" fillId="4" borderId="0" xfId="26" applyNumberFormat="1" applyFont="1" applyFill="1" applyBorder="1"/>
    <xf numFmtId="165" fontId="0" fillId="4" borderId="29" xfId="26" applyNumberFormat="1" applyFont="1" applyFill="1" applyBorder="1"/>
    <xf numFmtId="165" fontId="0" fillId="0" borderId="14" xfId="26" applyNumberFormat="1" applyFont="1" applyBorder="1"/>
    <xf numFmtId="165" fontId="6" fillId="18" borderId="14" xfId="25" applyNumberFormat="1" applyFill="1" applyBorder="1"/>
    <xf numFmtId="165" fontId="6" fillId="18" borderId="29" xfId="25" applyNumberFormat="1" applyFill="1" applyBorder="1"/>
    <xf numFmtId="165" fontId="106" fillId="0" borderId="29" xfId="25" applyNumberFormat="1" applyFont="1" applyBorder="1"/>
    <xf numFmtId="165" fontId="101" fillId="18" borderId="29" xfId="26" applyNumberFormat="1" applyFont="1" applyFill="1" applyBorder="1"/>
    <xf numFmtId="10" fontId="6" fillId="0" borderId="0" xfId="25" applyNumberFormat="1"/>
    <xf numFmtId="165" fontId="101" fillId="18" borderId="14" xfId="25" applyNumberFormat="1" applyFont="1" applyFill="1" applyBorder="1"/>
    <xf numFmtId="0" fontId="6" fillId="18" borderId="29" xfId="25" applyFill="1" applyBorder="1"/>
    <xf numFmtId="0" fontId="6" fillId="0" borderId="0" xfId="25" applyFill="1"/>
    <xf numFmtId="43" fontId="6" fillId="18" borderId="29" xfId="25" applyNumberFormat="1" applyFill="1" applyBorder="1"/>
    <xf numFmtId="0" fontId="101" fillId="0" borderId="0" xfId="25" applyFont="1" applyAlignment="1">
      <alignment horizontal="left"/>
    </xf>
    <xf numFmtId="165" fontId="101" fillId="4" borderId="14" xfId="26" applyNumberFormat="1" applyFont="1" applyFill="1" applyBorder="1"/>
    <xf numFmtId="165" fontId="101" fillId="4" borderId="0" xfId="26" applyNumberFormat="1" applyFont="1" applyFill="1" applyBorder="1"/>
    <xf numFmtId="165" fontId="101" fillId="0" borderId="29" xfId="26" applyNumberFormat="1" applyFont="1" applyBorder="1"/>
    <xf numFmtId="165" fontId="101" fillId="23" borderId="14" xfId="26" applyNumberFormat="1" applyFont="1" applyFill="1" applyBorder="1"/>
    <xf numFmtId="165" fontId="101" fillId="0" borderId="0" xfId="26" applyNumberFormat="1" applyFont="1" applyBorder="1"/>
    <xf numFmtId="43" fontId="101" fillId="18" borderId="29" xfId="25" applyNumberFormat="1" applyFont="1" applyFill="1" applyBorder="1"/>
    <xf numFmtId="10" fontId="101" fillId="0" borderId="0" xfId="25" applyNumberFormat="1" applyFont="1"/>
    <xf numFmtId="0" fontId="101" fillId="0" borderId="0" xfId="25" applyFont="1"/>
    <xf numFmtId="165" fontId="0" fillId="4" borderId="19" xfId="26" applyNumberFormat="1" applyFont="1" applyFill="1" applyBorder="1"/>
    <xf numFmtId="165" fontId="0" fillId="4" borderId="16" xfId="26" applyNumberFormat="1" applyFont="1" applyFill="1" applyBorder="1"/>
    <xf numFmtId="165" fontId="0" fillId="4" borderId="33" xfId="26" applyNumberFormat="1" applyFont="1" applyFill="1" applyBorder="1"/>
    <xf numFmtId="165" fontId="0" fillId="19" borderId="33" xfId="26" applyNumberFormat="1" applyFont="1" applyFill="1" applyBorder="1"/>
    <xf numFmtId="165" fontId="0" fillId="0" borderId="16" xfId="26" applyNumberFormat="1" applyFont="1" applyBorder="1"/>
    <xf numFmtId="165" fontId="0" fillId="0" borderId="33" xfId="26" applyNumberFormat="1" applyFont="1" applyBorder="1"/>
    <xf numFmtId="165" fontId="106" fillId="12" borderId="0" xfId="26" applyNumberFormat="1" applyFont="1" applyFill="1"/>
    <xf numFmtId="165" fontId="106" fillId="0" borderId="0" xfId="26" applyNumberFormat="1" applyFont="1"/>
    <xf numFmtId="165" fontId="106" fillId="0" borderId="33" xfId="26" applyNumberFormat="1" applyFont="1" applyBorder="1"/>
    <xf numFmtId="165" fontId="106" fillId="0" borderId="24" xfId="26" applyNumberFormat="1" applyFont="1" applyBorder="1"/>
    <xf numFmtId="165" fontId="106" fillId="18" borderId="20" xfId="26" applyNumberFormat="1" applyFont="1" applyFill="1" applyBorder="1"/>
    <xf numFmtId="165" fontId="6" fillId="22" borderId="24" xfId="25" applyNumberFormat="1" applyFill="1" applyBorder="1"/>
    <xf numFmtId="165" fontId="106" fillId="22" borderId="33" xfId="26" applyNumberFormat="1" applyFont="1" applyFill="1" applyBorder="1"/>
    <xf numFmtId="165" fontId="106" fillId="22" borderId="24" xfId="25" applyNumberFormat="1" applyFont="1" applyFill="1" applyBorder="1"/>
    <xf numFmtId="165" fontId="0" fillId="0" borderId="0" xfId="26" applyNumberFormat="1" applyFont="1"/>
    <xf numFmtId="165" fontId="101" fillId="0" borderId="0" xfId="25" applyNumberFormat="1" applyFont="1"/>
    <xf numFmtId="10" fontId="0" fillId="12" borderId="0" xfId="27" applyNumberFormat="1" applyFont="1" applyFill="1"/>
    <xf numFmtId="10" fontId="0" fillId="0" borderId="0" xfId="27" applyNumberFormat="1" applyFont="1"/>
    <xf numFmtId="165" fontId="6" fillId="0" borderId="0" xfId="25" applyNumberFormat="1"/>
    <xf numFmtId="0" fontId="6" fillId="13" borderId="0" xfId="25" applyFill="1"/>
    <xf numFmtId="165" fontId="6" fillId="13" borderId="29" xfId="25" applyNumberFormat="1" applyFill="1" applyBorder="1"/>
    <xf numFmtId="0" fontId="101" fillId="13" borderId="0" xfId="25" applyFont="1" applyFill="1"/>
    <xf numFmtId="165" fontId="0" fillId="13" borderId="0" xfId="26" applyNumberFormat="1" applyFont="1" applyFill="1"/>
    <xf numFmtId="165" fontId="101" fillId="0" borderId="23" xfId="25" applyNumberFormat="1" applyFont="1" applyBorder="1"/>
    <xf numFmtId="165" fontId="101" fillId="0" borderId="29" xfId="25" applyNumberFormat="1" applyFont="1" applyBorder="1"/>
    <xf numFmtId="164" fontId="13" fillId="0" borderId="0" xfId="0" applyNumberFormat="1" applyFont="1" applyFill="1"/>
    <xf numFmtId="3" fontId="27" fillId="0" borderId="0" xfId="0" applyNumberFormat="1" applyFont="1" applyFill="1" applyBorder="1" applyAlignment="1">
      <alignment horizontal="center"/>
    </xf>
    <xf numFmtId="3" fontId="13" fillId="0" borderId="0" xfId="0" applyNumberFormat="1" applyFont="1" applyFill="1" applyBorder="1"/>
    <xf numFmtId="0" fontId="107" fillId="0" borderId="24" xfId="25" applyFont="1" applyBorder="1"/>
    <xf numFmtId="0" fontId="107" fillId="0" borderId="20" xfId="25" applyFont="1" applyBorder="1"/>
    <xf numFmtId="0" fontId="101" fillId="18" borderId="24" xfId="25" applyFont="1" applyFill="1" applyBorder="1"/>
    <xf numFmtId="165" fontId="63" fillId="4" borderId="33" xfId="26" applyNumberFormat="1" applyFont="1" applyFill="1" applyBorder="1"/>
    <xf numFmtId="165" fontId="101" fillId="18" borderId="11" xfId="25" applyNumberFormat="1" applyFont="1" applyFill="1" applyBorder="1"/>
    <xf numFmtId="165" fontId="5" fillId="18" borderId="14" xfId="25" applyNumberFormat="1" applyFont="1" applyFill="1" applyBorder="1"/>
    <xf numFmtId="165" fontId="63" fillId="4" borderId="29" xfId="26" applyNumberFormat="1" applyFont="1" applyFill="1" applyBorder="1"/>
    <xf numFmtId="165" fontId="5" fillId="0" borderId="29" xfId="25" applyNumberFormat="1" applyFont="1" applyBorder="1"/>
    <xf numFmtId="10" fontId="4" fillId="0" borderId="0" xfId="25" applyNumberFormat="1" applyFont="1"/>
    <xf numFmtId="165" fontId="6" fillId="18" borderId="29" xfId="1" applyNumberFormat="1" applyFont="1" applyFill="1" applyBorder="1"/>
    <xf numFmtId="165" fontId="101" fillId="18" borderId="29" xfId="1" applyNumberFormat="1" applyFont="1" applyFill="1" applyBorder="1"/>
    <xf numFmtId="165" fontId="5" fillId="18" borderId="29" xfId="1" applyNumberFormat="1" applyFont="1" applyFill="1" applyBorder="1"/>
    <xf numFmtId="164" fontId="0" fillId="0" borderId="0" xfId="0" applyNumberFormat="1" applyFill="1"/>
    <xf numFmtId="37" fontId="0" fillId="24" borderId="0" xfId="0" applyNumberFormat="1" applyFill="1"/>
    <xf numFmtId="165" fontId="63" fillId="0" borderId="0" xfId="0" applyNumberFormat="1" applyFont="1" applyFill="1"/>
    <xf numFmtId="165" fontId="63" fillId="0" borderId="0" xfId="1" applyNumberFormat="1" applyFont="1" applyFill="1" applyBorder="1" applyAlignment="1">
      <alignment horizontal="left"/>
    </xf>
    <xf numFmtId="43" fontId="63" fillId="0" borderId="0" xfId="1" applyFont="1" applyFill="1"/>
    <xf numFmtId="165" fontId="63" fillId="0" borderId="0" xfId="1" applyNumberFormat="1" applyFont="1" applyFill="1"/>
    <xf numFmtId="9" fontId="63" fillId="4" borderId="0" xfId="4" applyFont="1" applyFill="1"/>
    <xf numFmtId="165" fontId="63" fillId="4" borderId="0" xfId="0" applyNumberFormat="1" applyFont="1" applyFill="1"/>
    <xf numFmtId="43" fontId="63" fillId="4" borderId="0" xfId="1" applyFont="1" applyFill="1"/>
    <xf numFmtId="4" fontId="108" fillId="0" borderId="12" xfId="0" applyNumberFormat="1" applyFont="1" applyFill="1" applyBorder="1" applyAlignment="1">
      <alignment horizontal="right" vertical="center"/>
    </xf>
    <xf numFmtId="0" fontId="108" fillId="0" borderId="0" xfId="0" applyFont="1" applyFill="1" applyAlignment="1">
      <alignment vertical="center"/>
    </xf>
    <xf numFmtId="0" fontId="108" fillId="0" borderId="16" xfId="0" applyFont="1" applyFill="1" applyBorder="1" applyAlignment="1">
      <alignment vertical="center"/>
    </xf>
    <xf numFmtId="4" fontId="108" fillId="0" borderId="0" xfId="0" applyNumberFormat="1" applyFont="1" applyFill="1" applyAlignment="1">
      <alignment horizontal="right" vertical="center"/>
    </xf>
    <xf numFmtId="0" fontId="108" fillId="0" borderId="14" xfId="0" applyFont="1" applyFill="1" applyBorder="1" applyAlignment="1">
      <alignment vertical="center"/>
    </xf>
    <xf numFmtId="0" fontId="108" fillId="0" borderId="19" xfId="0" applyFont="1" applyFill="1" applyBorder="1" applyAlignment="1">
      <alignment vertical="center"/>
    </xf>
    <xf numFmtId="4" fontId="108" fillId="25" borderId="0" xfId="0" applyNumberFormat="1" applyFont="1" applyFill="1"/>
    <xf numFmtId="165" fontId="14" fillId="13" borderId="82" xfId="1" applyNumberFormat="1" applyFont="1" applyFill="1" applyBorder="1"/>
    <xf numFmtId="0" fontId="0" fillId="13" borderId="0" xfId="0" applyFill="1"/>
    <xf numFmtId="4" fontId="108" fillId="13" borderId="35" xfId="0" applyNumberFormat="1" applyFont="1" applyFill="1" applyBorder="1"/>
    <xf numFmtId="164" fontId="14" fillId="13" borderId="82" xfId="2" applyNumberFormat="1" applyFont="1" applyFill="1" applyBorder="1"/>
    <xf numFmtId="4" fontId="108" fillId="10" borderId="6" xfId="0" applyNumberFormat="1" applyFont="1" applyFill="1" applyBorder="1"/>
    <xf numFmtId="164" fontId="13" fillId="0" borderId="0" xfId="2" applyNumberFormat="1" applyFont="1" applyFill="1" applyBorder="1"/>
    <xf numFmtId="10" fontId="14" fillId="0" borderId="0" xfId="4" applyNumberFormat="1" applyFont="1" applyFill="1"/>
    <xf numFmtId="167" fontId="0" fillId="0" borderId="0" xfId="0" applyNumberFormat="1" applyFill="1"/>
    <xf numFmtId="0" fontId="3" fillId="0" borderId="0" xfId="25" applyFont="1"/>
    <xf numFmtId="9" fontId="6" fillId="0" borderId="0" xfId="4" applyFont="1"/>
    <xf numFmtId="165" fontId="64" fillId="0" borderId="1" xfId="1" applyNumberFormat="1" applyFont="1" applyFill="1" applyBorder="1"/>
    <xf numFmtId="165" fontId="64" fillId="0" borderId="8" xfId="1" applyNumberFormat="1" applyFont="1" applyFill="1" applyBorder="1"/>
    <xf numFmtId="164" fontId="0" fillId="19" borderId="0" xfId="0" applyNumberFormat="1" applyFill="1"/>
    <xf numFmtId="44" fontId="14" fillId="0" borderId="0" xfId="2" applyNumberFormat="1" applyFont="1" applyFill="1" applyBorder="1"/>
    <xf numFmtId="164" fontId="14" fillId="26" borderId="5" xfId="2" applyNumberFormat="1" applyFont="1" applyFill="1" applyBorder="1"/>
    <xf numFmtId="0" fontId="15" fillId="26" borderId="8" xfId="0" applyFont="1" applyFill="1" applyBorder="1"/>
    <xf numFmtId="164" fontId="14" fillId="26" borderId="0" xfId="2" applyNumberFormat="1" applyFont="1" applyFill="1" applyBorder="1"/>
    <xf numFmtId="0" fontId="14" fillId="26" borderId="0" xfId="0" applyFont="1" applyFill="1" applyAlignment="1">
      <alignment horizontal="center"/>
    </xf>
    <xf numFmtId="0" fontId="14" fillId="26" borderId="0" xfId="0" applyFont="1" applyFill="1"/>
    <xf numFmtId="0" fontId="15" fillId="16" borderId="8" xfId="0" applyFont="1" applyFill="1" applyBorder="1"/>
    <xf numFmtId="164" fontId="14" fillId="16" borderId="0" xfId="2" applyNumberFormat="1" applyFont="1" applyFill="1" applyBorder="1"/>
    <xf numFmtId="164" fontId="14" fillId="16" borderId="5" xfId="2" applyNumberFormat="1" applyFont="1" applyFill="1" applyBorder="1"/>
    <xf numFmtId="0" fontId="14" fillId="16" borderId="0" xfId="0" applyFont="1" applyFill="1" applyAlignment="1">
      <alignment horizontal="center"/>
    </xf>
    <xf numFmtId="0" fontId="0" fillId="16" borderId="0" xfId="0" applyFont="1" applyFill="1"/>
    <xf numFmtId="0" fontId="14" fillId="16" borderId="0" xfId="0" applyFont="1" applyFill="1"/>
    <xf numFmtId="164" fontId="63" fillId="4" borderId="0" xfId="2" applyNumberFormat="1" applyFont="1" applyFill="1" applyBorder="1"/>
    <xf numFmtId="0" fontId="2" fillId="0" borderId="0" xfId="25" applyFont="1"/>
    <xf numFmtId="0" fontId="6" fillId="4" borderId="0" xfId="25" applyFill="1"/>
    <xf numFmtId="43" fontId="6" fillId="0" borderId="0" xfId="25" applyNumberFormat="1"/>
    <xf numFmtId="0" fontId="0" fillId="25" borderId="0" xfId="0" applyFont="1" applyFill="1"/>
    <xf numFmtId="0" fontId="11" fillId="25" borderId="0" xfId="0" applyFont="1" applyFill="1"/>
    <xf numFmtId="165" fontId="11" fillId="25" borderId="0" xfId="1" applyNumberFormat="1" applyFont="1" applyFill="1"/>
    <xf numFmtId="10" fontId="11" fillId="25" borderId="0" xfId="0" applyNumberFormat="1" applyFont="1" applyFill="1" applyAlignment="1">
      <alignment horizontal="center"/>
    </xf>
    <xf numFmtId="0" fontId="11" fillId="25" borderId="0" xfId="0" applyFont="1" applyFill="1" applyAlignment="1">
      <alignment horizontal="center"/>
    </xf>
    <xf numFmtId="44" fontId="11" fillId="25" borderId="0" xfId="2" applyFont="1" applyFill="1" applyAlignment="1">
      <alignment horizontal="center"/>
    </xf>
    <xf numFmtId="0" fontId="0" fillId="25" borderId="0" xfId="0" applyFont="1" applyFill="1" applyAlignment="1">
      <alignment horizontal="center"/>
    </xf>
    <xf numFmtId="10" fontId="24" fillId="25" borderId="0" xfId="4" applyNumberFormat="1" applyFont="1" applyFill="1"/>
    <xf numFmtId="0" fontId="0" fillId="25" borderId="0" xfId="0" applyFont="1" applyFill="1" applyAlignment="1">
      <alignment horizontal="left"/>
    </xf>
    <xf numFmtId="44" fontId="0" fillId="25" borderId="0" xfId="2" applyFont="1" applyFill="1" applyAlignment="1">
      <alignment horizontal="center"/>
    </xf>
    <xf numFmtId="0" fontId="1" fillId="0" borderId="0" xfId="25" applyFont="1"/>
    <xf numFmtId="9" fontId="11" fillId="25" borderId="0" xfId="4" applyFont="1" applyFill="1" applyAlignment="1">
      <alignment horizontal="center"/>
    </xf>
    <xf numFmtId="0" fontId="0" fillId="15" borderId="0" xfId="0" applyFont="1" applyFill="1"/>
    <xf numFmtId="0" fontId="11" fillId="15" borderId="0" xfId="0" applyFont="1" applyFill="1"/>
    <xf numFmtId="165" fontId="11" fillId="15" borderId="0" xfId="1" applyNumberFormat="1" applyFont="1" applyFill="1"/>
    <xf numFmtId="10" fontId="11" fillId="15" borderId="0" xfId="0" applyNumberFormat="1" applyFont="1" applyFill="1" applyAlignment="1">
      <alignment horizontal="center"/>
    </xf>
    <xf numFmtId="0" fontId="11" fillId="15" borderId="0" xfId="0" applyFont="1" applyFill="1" applyAlignment="1">
      <alignment horizontal="center"/>
    </xf>
    <xf numFmtId="44" fontId="11" fillId="15" borderId="0" xfId="2" applyFont="1" applyFill="1" applyAlignment="1">
      <alignment horizontal="center"/>
    </xf>
    <xf numFmtId="0" fontId="0" fillId="10" borderId="0" xfId="0" applyFont="1" applyFill="1"/>
    <xf numFmtId="0" fontId="11" fillId="10" borderId="0" xfId="0" applyFont="1" applyFill="1"/>
    <xf numFmtId="165" fontId="11" fillId="10" borderId="0" xfId="1" applyNumberFormat="1" applyFont="1" applyFill="1"/>
    <xf numFmtId="10" fontId="11" fillId="10" borderId="0" xfId="0" applyNumberFormat="1" applyFont="1" applyFill="1" applyAlignment="1">
      <alignment horizontal="center"/>
    </xf>
    <xf numFmtId="0" fontId="11" fillId="10" borderId="0" xfId="0" applyFont="1" applyFill="1" applyAlignment="1">
      <alignment horizontal="center"/>
    </xf>
    <xf numFmtId="44" fontId="11" fillId="10" borderId="0" xfId="2" applyFont="1" applyFill="1" applyAlignment="1">
      <alignment horizontal="center"/>
    </xf>
    <xf numFmtId="0" fontId="1" fillId="4" borderId="24" xfId="25" applyFont="1" applyFill="1" applyBorder="1"/>
    <xf numFmtId="165" fontId="101" fillId="18" borderId="29" xfId="25" applyNumberFormat="1" applyFont="1" applyFill="1" applyBorder="1"/>
    <xf numFmtId="165" fontId="101" fillId="18" borderId="23" xfId="25" applyNumberFormat="1" applyFont="1" applyFill="1" applyBorder="1"/>
    <xf numFmtId="165" fontId="5" fillId="18" borderId="29" xfId="25" applyNumberFormat="1" applyFont="1" applyFill="1" applyBorder="1"/>
    <xf numFmtId="165" fontId="5" fillId="11" borderId="29" xfId="25" applyNumberFormat="1" applyFont="1" applyFill="1" applyBorder="1"/>
    <xf numFmtId="0" fontId="1" fillId="11" borderId="0" xfId="25" applyFont="1" applyFill="1"/>
    <xf numFmtId="0" fontId="6" fillId="11" borderId="0" xfId="25" applyFill="1"/>
    <xf numFmtId="43" fontId="6" fillId="0" borderId="11" xfId="1" applyFont="1" applyBorder="1"/>
    <xf numFmtId="0" fontId="6" fillId="0" borderId="13" xfId="25" applyBorder="1"/>
    <xf numFmtId="43" fontId="6" fillId="0" borderId="14" xfId="1" applyFont="1" applyBorder="1"/>
    <xf numFmtId="0" fontId="6" fillId="0" borderId="15" xfId="25" applyBorder="1"/>
    <xf numFmtId="43" fontId="6" fillId="0" borderId="18" xfId="1" applyFont="1" applyBorder="1"/>
    <xf numFmtId="0" fontId="1" fillId="0" borderId="0" xfId="25" applyFont="1" applyBorder="1"/>
    <xf numFmtId="0" fontId="1" fillId="0" borderId="14" xfId="25" applyFont="1" applyBorder="1"/>
    <xf numFmtId="0" fontId="1" fillId="20" borderId="19" xfId="25" applyFont="1" applyFill="1" applyBorder="1"/>
    <xf numFmtId="0" fontId="6" fillId="20" borderId="16" xfId="25" applyFill="1" applyBorder="1"/>
    <xf numFmtId="0" fontId="6" fillId="0" borderId="16" xfId="25" applyBorder="1"/>
    <xf numFmtId="0" fontId="6" fillId="0" borderId="17" xfId="25" applyBorder="1"/>
    <xf numFmtId="0" fontId="6" fillId="10" borderId="0" xfId="25" applyFill="1"/>
    <xf numFmtId="0" fontId="1" fillId="10" borderId="0" xfId="25" applyFont="1" applyFill="1"/>
    <xf numFmtId="0" fontId="2" fillId="10" borderId="0" xfId="25" applyFont="1" applyFill="1"/>
    <xf numFmtId="10" fontId="6" fillId="10" borderId="0" xfId="25" applyNumberFormat="1" applyFill="1"/>
    <xf numFmtId="0" fontId="111" fillId="10" borderId="0" xfId="25" applyFont="1" applyFill="1"/>
    <xf numFmtId="164" fontId="24" fillId="16" borderId="82" xfId="2" applyNumberFormat="1" applyFont="1" applyFill="1" applyBorder="1"/>
    <xf numFmtId="0" fontId="24" fillId="0" borderId="0" xfId="3" applyFont="1" applyFill="1" applyAlignment="1">
      <alignment horizontal="right"/>
    </xf>
    <xf numFmtId="0" fontId="0" fillId="0" borderId="0" xfId="0" applyAlignment="1">
      <alignment horizontal="right"/>
    </xf>
    <xf numFmtId="0" fontId="41" fillId="0" borderId="0" xfId="3" applyFont="1" applyFill="1" applyAlignment="1">
      <alignment horizontal="right"/>
    </xf>
    <xf numFmtId="165" fontId="24" fillId="16" borderId="0" xfId="1" applyNumberFormat="1" applyFont="1" applyFill="1" applyBorder="1"/>
    <xf numFmtId="164" fontId="24" fillId="18" borderId="82" xfId="3" applyNumberFormat="1" applyFont="1" applyFill="1" applyBorder="1"/>
    <xf numFmtId="164" fontId="24" fillId="16" borderId="0" xfId="2" applyNumberFormat="1" applyFont="1" applyFill="1"/>
    <xf numFmtId="164" fontId="24" fillId="18" borderId="0" xfId="2" applyNumberFormat="1" applyFont="1" applyFill="1"/>
    <xf numFmtId="164" fontId="24" fillId="18" borderId="0" xfId="2" applyNumberFormat="1" applyFont="1" applyFill="1" applyBorder="1"/>
    <xf numFmtId="164" fontId="24" fillId="18" borderId="0" xfId="3" applyNumberFormat="1" applyFont="1" applyFill="1"/>
    <xf numFmtId="165" fontId="112" fillId="4" borderId="9" xfId="1" applyNumberFormat="1" applyFont="1" applyFill="1" applyBorder="1"/>
    <xf numFmtId="165" fontId="112" fillId="4" borderId="34" xfId="1" applyNumberFormat="1" applyFont="1" applyFill="1" applyBorder="1"/>
    <xf numFmtId="165" fontId="0" fillId="18" borderId="0" xfId="1" applyNumberFormat="1" applyFont="1" applyFill="1"/>
    <xf numFmtId="165" fontId="84" fillId="18" borderId="82" xfId="1" applyNumberFormat="1" applyFont="1" applyFill="1" applyBorder="1"/>
    <xf numFmtId="165" fontId="63" fillId="0" borderId="82" xfId="1" applyNumberFormat="1" applyFont="1" applyFill="1" applyBorder="1"/>
    <xf numFmtId="165" fontId="84" fillId="0" borderId="15" xfId="1" applyNumberFormat="1" applyFont="1" applyBorder="1"/>
    <xf numFmtId="0" fontId="84" fillId="0" borderId="15" xfId="0" applyFont="1" applyFill="1" applyBorder="1"/>
    <xf numFmtId="44" fontId="14" fillId="0" borderId="0" xfId="2" applyNumberFormat="1" applyFont="1"/>
    <xf numFmtId="165" fontId="84" fillId="0" borderId="82" xfId="1" applyNumberFormat="1" applyFont="1" applyFill="1" applyBorder="1"/>
    <xf numFmtId="0" fontId="84" fillId="0" borderId="14" xfId="0" applyFont="1" applyFill="1" applyBorder="1"/>
    <xf numFmtId="0" fontId="84" fillId="0" borderId="0" xfId="0" applyFont="1" applyFill="1" applyBorder="1"/>
    <xf numFmtId="165" fontId="84" fillId="0" borderId="0" xfId="1" applyNumberFormat="1" applyFont="1" applyFill="1" applyBorder="1"/>
    <xf numFmtId="165" fontId="84" fillId="0" borderId="15" xfId="1" applyNumberFormat="1" applyFont="1" applyFill="1" applyBorder="1"/>
    <xf numFmtId="0" fontId="84" fillId="4" borderId="14" xfId="0" applyFont="1" applyFill="1" applyBorder="1"/>
    <xf numFmtId="0" fontId="84" fillId="4" borderId="0" xfId="0" applyFont="1" applyFill="1" applyBorder="1"/>
    <xf numFmtId="165" fontId="84" fillId="4" borderId="9" xfId="1" applyNumberFormat="1" applyFont="1" applyFill="1" applyBorder="1"/>
    <xf numFmtId="165" fontId="84" fillId="4" borderId="34" xfId="1" applyNumberFormat="1" applyFont="1" applyFill="1" applyBorder="1"/>
    <xf numFmtId="0" fontId="24" fillId="4" borderId="0" xfId="3" applyFont="1" applyFill="1"/>
    <xf numFmtId="165" fontId="24" fillId="16" borderId="0" xfId="3" applyNumberFormat="1" applyFont="1" applyFill="1"/>
    <xf numFmtId="0" fontId="24" fillId="4" borderId="0" xfId="3" applyFont="1" applyFill="1" applyAlignment="1">
      <alignment horizontal="right"/>
    </xf>
    <xf numFmtId="43" fontId="0" fillId="0" borderId="9" xfId="0" applyNumberFormat="1" applyBorder="1"/>
    <xf numFmtId="3" fontId="0" fillId="0" borderId="86" xfId="0" applyNumberFormat="1" applyFont="1" applyBorder="1"/>
    <xf numFmtId="3" fontId="0" fillId="0" borderId="17" xfId="0" applyNumberFormat="1" applyFont="1" applyBorder="1"/>
    <xf numFmtId="164" fontId="14" fillId="23" borderId="82" xfId="2" applyNumberFormat="1" applyFont="1" applyFill="1" applyBorder="1"/>
    <xf numFmtId="165" fontId="14" fillId="23" borderId="0" xfId="1" applyNumberFormat="1" applyFont="1" applyFill="1"/>
    <xf numFmtId="0" fontId="69" fillId="0" borderId="0" xfId="0" applyFont="1" applyAlignment="1">
      <alignment horizontal="center"/>
    </xf>
    <xf numFmtId="0" fontId="84" fillId="0" borderId="0" xfId="0" applyFont="1"/>
    <xf numFmtId="37" fontId="84" fillId="0" borderId="0" xfId="1" applyNumberFormat="1" applyFont="1"/>
    <xf numFmtId="0" fontId="84" fillId="0" borderId="0" xfId="0" applyFont="1" applyFill="1"/>
    <xf numFmtId="168" fontId="84" fillId="0" borderId="0" xfId="1" applyNumberFormat="1" applyFont="1"/>
    <xf numFmtId="165" fontId="84" fillId="0" borderId="0" xfId="1" applyNumberFormat="1" applyFont="1"/>
    <xf numFmtId="165" fontId="84" fillId="0" borderId="0" xfId="1" applyNumberFormat="1" applyFont="1" applyBorder="1"/>
    <xf numFmtId="165" fontId="84" fillId="0" borderId="29" xfId="1" applyNumberFormat="1" applyFont="1" applyBorder="1"/>
    <xf numFmtId="165" fontId="84" fillId="0" borderId="29" xfId="1" applyNumberFormat="1" applyFont="1" applyFill="1" applyBorder="1"/>
    <xf numFmtId="165" fontId="84" fillId="0" borderId="14" xfId="1" applyNumberFormat="1" applyFont="1" applyFill="1" applyBorder="1"/>
    <xf numFmtId="165" fontId="84" fillId="0" borderId="8" xfId="1" applyNumberFormat="1" applyFont="1" applyFill="1" applyBorder="1"/>
    <xf numFmtId="165" fontId="84" fillId="0" borderId="87" xfId="1" applyNumberFormat="1" applyFont="1" applyFill="1" applyBorder="1"/>
    <xf numFmtId="166" fontId="84" fillId="0" borderId="117" xfId="0" applyNumberFormat="1" applyFont="1" applyBorder="1"/>
    <xf numFmtId="165" fontId="84" fillId="14" borderId="82" xfId="1" applyNumberFormat="1" applyFont="1" applyFill="1" applyBorder="1"/>
    <xf numFmtId="166" fontId="84" fillId="0" borderId="0" xfId="0" applyNumberFormat="1" applyFont="1"/>
    <xf numFmtId="165" fontId="84" fillId="0" borderId="117" xfId="1" applyNumberFormat="1" applyFont="1" applyBorder="1"/>
    <xf numFmtId="0" fontId="69" fillId="0" borderId="0" xfId="0" applyFont="1" applyFill="1" applyAlignment="1">
      <alignment horizontal="center"/>
    </xf>
    <xf numFmtId="37" fontId="84" fillId="0" borderId="0" xfId="1" applyNumberFormat="1" applyFont="1" applyFill="1"/>
    <xf numFmtId="168" fontId="84" fillId="0" borderId="0" xfId="1" applyNumberFormat="1" applyFont="1" applyFill="1"/>
    <xf numFmtId="165" fontId="84" fillId="0" borderId="0" xfId="1" applyNumberFormat="1" applyFont="1" applyFill="1"/>
    <xf numFmtId="165" fontId="84" fillId="0" borderId="29" xfId="0" applyNumberFormat="1" applyFont="1" applyFill="1" applyBorder="1"/>
    <xf numFmtId="165" fontId="84" fillId="0" borderId="14" xfId="0" applyNumberFormat="1" applyFont="1" applyFill="1" applyBorder="1"/>
    <xf numFmtId="0" fontId="84" fillId="0" borderId="8" xfId="0" applyFont="1" applyFill="1" applyBorder="1"/>
    <xf numFmtId="0" fontId="84" fillId="0" borderId="87" xfId="0" applyFont="1" applyFill="1" applyBorder="1"/>
    <xf numFmtId="0" fontId="84" fillId="0" borderId="117" xfId="0" applyFont="1" applyFill="1" applyBorder="1"/>
    <xf numFmtId="0" fontId="84" fillId="14" borderId="82" xfId="0" applyFont="1" applyFill="1" applyBorder="1"/>
    <xf numFmtId="165" fontId="84" fillId="0" borderId="14" xfId="1" applyNumberFormat="1" applyFont="1" applyBorder="1"/>
    <xf numFmtId="165" fontId="84" fillId="0" borderId="8" xfId="1" applyNumberFormat="1" applyFont="1" applyBorder="1"/>
    <xf numFmtId="37" fontId="84" fillId="0" borderId="0" xfId="1" applyNumberFormat="1" applyFont="1" applyAlignment="1">
      <alignment horizontal="center"/>
    </xf>
    <xf numFmtId="165" fontId="84" fillId="0" borderId="8" xfId="0" applyNumberFormat="1" applyFont="1" applyFill="1" applyBorder="1"/>
    <xf numFmtId="165" fontId="84" fillId="0" borderId="87" xfId="0" applyNumberFormat="1" applyFont="1" applyFill="1" applyBorder="1"/>
    <xf numFmtId="165" fontId="84" fillId="0" borderId="117" xfId="0" applyNumberFormat="1" applyFont="1" applyFill="1" applyBorder="1"/>
    <xf numFmtId="165" fontId="84" fillId="0" borderId="15" xfId="0" applyNumberFormat="1" applyFont="1" applyFill="1" applyBorder="1"/>
    <xf numFmtId="165" fontId="84" fillId="14" borderId="82" xfId="0" applyNumberFormat="1" applyFont="1" applyFill="1" applyBorder="1"/>
    <xf numFmtId="165" fontId="84" fillId="0" borderId="0" xfId="0" applyNumberFormat="1" applyFont="1"/>
    <xf numFmtId="165" fontId="84" fillId="0" borderId="87" xfId="1" applyNumberFormat="1" applyFont="1" applyBorder="1"/>
    <xf numFmtId="0" fontId="113" fillId="0" borderId="0" xfId="0" applyFont="1" applyFill="1"/>
    <xf numFmtId="165" fontId="84" fillId="0" borderId="9" xfId="1" applyNumberFormat="1" applyFont="1" applyFill="1" applyBorder="1"/>
    <xf numFmtId="165" fontId="84" fillId="0" borderId="9" xfId="1" applyNumberFormat="1" applyFont="1" applyBorder="1"/>
    <xf numFmtId="165" fontId="84" fillId="0" borderId="30" xfId="0" applyNumberFormat="1" applyFont="1" applyFill="1" applyBorder="1"/>
    <xf numFmtId="165" fontId="84" fillId="0" borderId="30" xfId="1" applyNumberFormat="1" applyFont="1" applyBorder="1"/>
    <xf numFmtId="165" fontId="84" fillId="0" borderId="18" xfId="1" applyNumberFormat="1" applyFont="1" applyBorder="1"/>
    <xf numFmtId="165" fontId="84" fillId="0" borderId="4" xfId="1" applyNumberFormat="1" applyFont="1" applyBorder="1"/>
    <xf numFmtId="165" fontId="84" fillId="0" borderId="91" xfId="1" applyNumberFormat="1" applyFont="1" applyFill="1" applyBorder="1"/>
    <xf numFmtId="165" fontId="84" fillId="0" borderId="118" xfId="1" applyNumberFormat="1" applyFont="1" applyBorder="1"/>
    <xf numFmtId="165" fontId="84" fillId="0" borderId="34" xfId="1" applyNumberFormat="1" applyFont="1" applyFill="1" applyBorder="1"/>
    <xf numFmtId="165" fontId="84" fillId="14" borderId="83" xfId="1" applyNumberFormat="1" applyFont="1" applyFill="1" applyBorder="1"/>
    <xf numFmtId="165" fontId="84" fillId="0" borderId="34" xfId="1" applyNumberFormat="1" applyFont="1" applyBorder="1"/>
    <xf numFmtId="3" fontId="84" fillId="0" borderId="0" xfId="0" applyNumberFormat="1" applyFont="1" applyFill="1" applyBorder="1"/>
    <xf numFmtId="3" fontId="84" fillId="0" borderId="0" xfId="0" applyNumberFormat="1" applyFont="1" applyBorder="1"/>
    <xf numFmtId="3" fontId="84" fillId="0" borderId="0" xfId="0" applyNumberFormat="1" applyFont="1"/>
    <xf numFmtId="3" fontId="84" fillId="0" borderId="32" xfId="0" applyNumberFormat="1" applyFont="1" applyBorder="1"/>
    <xf numFmtId="3" fontId="84" fillId="0" borderId="52" xfId="0" applyNumberFormat="1" applyFont="1" applyBorder="1"/>
    <xf numFmtId="3" fontId="84" fillId="0" borderId="1" xfId="0" applyNumberFormat="1" applyFont="1" applyBorder="1"/>
    <xf numFmtId="3" fontId="84" fillId="0" borderId="93" xfId="0" applyNumberFormat="1" applyFont="1" applyBorder="1"/>
    <xf numFmtId="3" fontId="84" fillId="0" borderId="6" xfId="0" applyNumberFormat="1" applyFont="1" applyFill="1" applyBorder="1"/>
    <xf numFmtId="3" fontId="84" fillId="14" borderId="85" xfId="0" applyNumberFormat="1" applyFont="1" applyFill="1" applyBorder="1"/>
    <xf numFmtId="3" fontId="84" fillId="0" borderId="36" xfId="0" applyNumberFormat="1" applyFont="1" applyBorder="1"/>
    <xf numFmtId="164" fontId="84" fillId="0" borderId="28" xfId="2" applyNumberFormat="1" applyFont="1" applyFill="1" applyBorder="1"/>
    <xf numFmtId="164" fontId="84" fillId="0" borderId="28" xfId="2" applyNumberFormat="1" applyFont="1" applyBorder="1"/>
    <xf numFmtId="164" fontId="84" fillId="0" borderId="31" xfId="2" applyNumberFormat="1" applyFont="1" applyFill="1" applyBorder="1"/>
    <xf numFmtId="164" fontId="84" fillId="0" borderId="40" xfId="2" applyNumberFormat="1" applyFont="1" applyFill="1" applyBorder="1"/>
    <xf numFmtId="164" fontId="84" fillId="0" borderId="70" xfId="2" applyNumberFormat="1" applyFont="1" applyFill="1" applyBorder="1"/>
    <xf numFmtId="164" fontId="84" fillId="0" borderId="92" xfId="2" applyNumberFormat="1" applyFont="1" applyFill="1" applyBorder="1"/>
    <xf numFmtId="164" fontId="84" fillId="14" borderId="84" xfId="2" applyNumberFormat="1" applyFont="1" applyFill="1" applyBorder="1"/>
    <xf numFmtId="164" fontId="84" fillId="0" borderId="66" xfId="2" applyNumberFormat="1" applyFont="1" applyFill="1" applyBorder="1"/>
    <xf numFmtId="0" fontId="12" fillId="0" borderId="0" xfId="0" applyFont="1" applyFill="1" applyBorder="1" applyAlignment="1">
      <alignment vertical="center"/>
    </xf>
    <xf numFmtId="4" fontId="12" fillId="0" borderId="33" xfId="0" applyNumberFormat="1" applyFont="1" applyFill="1" applyBorder="1" applyAlignment="1">
      <alignment horizontal="right" vertical="center"/>
    </xf>
    <xf numFmtId="4" fontId="108" fillId="0" borderId="0" xfId="0" applyNumberFormat="1" applyFont="1" applyFill="1" applyBorder="1" applyAlignment="1">
      <alignment horizontal="right" vertical="center"/>
    </xf>
    <xf numFmtId="4" fontId="12" fillId="0" borderId="0" xfId="0" applyNumberFormat="1" applyFont="1" applyFill="1" applyBorder="1" applyAlignment="1">
      <alignment horizontal="right" vertical="center"/>
    </xf>
    <xf numFmtId="164" fontId="14" fillId="25" borderId="0" xfId="2" applyNumberFormat="1" applyFont="1" applyFill="1" applyBorder="1"/>
    <xf numFmtId="0" fontId="12" fillId="0" borderId="2" xfId="0" applyFont="1" applyFill="1" applyBorder="1" applyAlignment="1">
      <alignment horizontal="center"/>
    </xf>
    <xf numFmtId="0" fontId="12" fillId="0" borderId="6" xfId="0" applyFont="1" applyFill="1" applyBorder="1" applyAlignment="1">
      <alignment horizontal="center"/>
    </xf>
    <xf numFmtId="0" fontId="12" fillId="0" borderId="0" xfId="0" applyFont="1" applyFill="1" applyBorder="1" applyAlignment="1">
      <alignment horizontal="center"/>
    </xf>
    <xf numFmtId="0" fontId="115" fillId="0" borderId="33" xfId="0" applyFont="1" applyBorder="1" applyAlignment="1">
      <alignment wrapText="1"/>
    </xf>
    <xf numFmtId="3" fontId="115" fillId="0" borderId="17" xfId="0" applyNumberFormat="1" applyFont="1" applyBorder="1" applyAlignment="1">
      <alignment horizontal="right"/>
    </xf>
    <xf numFmtId="3" fontId="115" fillId="4" borderId="17" xfId="0" applyNumberFormat="1" applyFont="1" applyFill="1" applyBorder="1" applyAlignment="1">
      <alignment horizontal="right"/>
    </xf>
    <xf numFmtId="0" fontId="116" fillId="0" borderId="0" xfId="0" applyFont="1" applyAlignment="1">
      <alignment horizontal="left"/>
    </xf>
    <xf numFmtId="0" fontId="13" fillId="0" borderId="0" xfId="0" applyFont="1" applyAlignment="1">
      <alignment horizontal="center"/>
    </xf>
    <xf numFmtId="0" fontId="14" fillId="0" borderId="0" xfId="0" applyFont="1"/>
    <xf numFmtId="0" fontId="0" fillId="21" borderId="0" xfId="0" applyFont="1" applyFill="1"/>
    <xf numFmtId="0" fontId="11" fillId="21" borderId="0" xfId="0" applyFont="1" applyFill="1"/>
    <xf numFmtId="165" fontId="11" fillId="21" borderId="0" xfId="1" applyNumberFormat="1" applyFont="1" applyFill="1"/>
    <xf numFmtId="44" fontId="11" fillId="21" borderId="0" xfId="2" applyFont="1" applyFill="1" applyAlignment="1">
      <alignment horizontal="center"/>
    </xf>
    <xf numFmtId="0" fontId="0" fillId="21" borderId="0" xfId="0" applyFont="1" applyFill="1" applyAlignment="1">
      <alignment horizontal="center"/>
    </xf>
    <xf numFmtId="44" fontId="0" fillId="21" borderId="0" xfId="2" applyFont="1" applyFill="1" applyAlignment="1">
      <alignment horizontal="center"/>
    </xf>
    <xf numFmtId="0" fontId="11" fillId="21" borderId="0" xfId="0" applyFont="1" applyFill="1" applyAlignment="1">
      <alignment horizontal="center"/>
    </xf>
    <xf numFmtId="165" fontId="63" fillId="18" borderId="82" xfId="1" applyNumberFormat="1" applyFont="1" applyFill="1" applyBorder="1"/>
    <xf numFmtId="165" fontId="14" fillId="15" borderId="82" xfId="1" applyNumberFormat="1" applyFont="1" applyFill="1" applyBorder="1"/>
    <xf numFmtId="165" fontId="84" fillId="15" borderId="82" xfId="1" applyNumberFormat="1" applyFont="1" applyFill="1" applyBorder="1"/>
    <xf numFmtId="165" fontId="63" fillId="15" borderId="82" xfId="1" applyNumberFormat="1" applyFont="1" applyFill="1" applyBorder="1"/>
    <xf numFmtId="0" fontId="114" fillId="0" borderId="0" xfId="0" applyFont="1" applyFill="1" applyBorder="1"/>
    <xf numFmtId="4" fontId="69" fillId="0" borderId="6" xfId="0" applyNumberFormat="1" applyFont="1" applyFill="1" applyBorder="1"/>
    <xf numFmtId="0" fontId="69" fillId="0" borderId="80" xfId="0" applyFont="1" applyFill="1" applyBorder="1"/>
    <xf numFmtId="0" fontId="69" fillId="0" borderId="35" xfId="0" applyFont="1" applyFill="1" applyBorder="1" applyAlignment="1">
      <alignment horizontal="center"/>
    </xf>
    <xf numFmtId="0" fontId="69" fillId="0" borderId="35" xfId="0" applyFont="1" applyFill="1" applyBorder="1"/>
    <xf numFmtId="4" fontId="70" fillId="0" borderId="0" xfId="0" applyNumberFormat="1" applyFont="1" applyFill="1" applyBorder="1"/>
    <xf numFmtId="0" fontId="69" fillId="0" borderId="1" xfId="0" applyFont="1" applyFill="1" applyBorder="1" applyAlignment="1">
      <alignment horizontal="center"/>
    </xf>
    <xf numFmtId="0" fontId="69" fillId="0" borderId="8" xfId="0" applyFont="1" applyFill="1" applyBorder="1" applyAlignment="1">
      <alignment horizontal="center"/>
    </xf>
    <xf numFmtId="4" fontId="12" fillId="4" borderId="35" xfId="0" applyNumberFormat="1" applyFont="1" applyFill="1" applyBorder="1"/>
    <xf numFmtId="0" fontId="69" fillId="0" borderId="68" xfId="0" applyFont="1" applyFill="1" applyBorder="1" applyAlignment="1">
      <alignment horizontal="center"/>
    </xf>
    <xf numFmtId="4" fontId="69" fillId="0" borderId="120" xfId="0" applyNumberFormat="1" applyFont="1" applyFill="1" applyBorder="1"/>
    <xf numFmtId="4" fontId="69" fillId="0" borderId="49" xfId="0" applyNumberFormat="1" applyFont="1" applyFill="1" applyBorder="1"/>
    <xf numFmtId="4" fontId="69" fillId="0" borderId="65" xfId="0" applyNumberFormat="1" applyFont="1" applyFill="1" applyBorder="1"/>
    <xf numFmtId="0" fontId="69" fillId="0" borderId="11" xfId="0" applyFont="1" applyFill="1" applyBorder="1" applyAlignment="1">
      <alignment horizontal="center"/>
    </xf>
    <xf numFmtId="0" fontId="69" fillId="0" borderId="14" xfId="0" applyFont="1" applyFill="1" applyBorder="1" applyAlignment="1">
      <alignment horizontal="center"/>
    </xf>
    <xf numFmtId="0" fontId="69" fillId="0" borderId="121" xfId="0" applyFont="1" applyFill="1" applyBorder="1" applyAlignment="1">
      <alignment horizontal="center"/>
    </xf>
    <xf numFmtId="0" fontId="69" fillId="0" borderId="5" xfId="0" applyFont="1" applyFill="1" applyBorder="1" applyAlignment="1">
      <alignment horizontal="center"/>
    </xf>
    <xf numFmtId="0" fontId="69" fillId="0" borderId="23" xfId="0" applyFont="1" applyFill="1" applyBorder="1" applyAlignment="1">
      <alignment horizontal="center"/>
    </xf>
    <xf numFmtId="0" fontId="69" fillId="0" borderId="29" xfId="0" applyFont="1" applyFill="1" applyBorder="1" applyAlignment="1">
      <alignment horizontal="center"/>
    </xf>
    <xf numFmtId="4" fontId="108" fillId="14" borderId="1" xfId="0" applyNumberFormat="1" applyFont="1" applyFill="1" applyBorder="1"/>
    <xf numFmtId="0" fontId="13" fillId="0" borderId="58" xfId="0" applyFont="1" applyFill="1" applyBorder="1" applyAlignment="1">
      <alignment horizontal="center" wrapText="1"/>
    </xf>
    <xf numFmtId="164" fontId="13" fillId="4" borderId="49" xfId="0" applyNumberFormat="1" applyFont="1" applyFill="1" applyBorder="1" applyAlignment="1">
      <alignment horizontal="center" wrapText="1"/>
    </xf>
    <xf numFmtId="164" fontId="13" fillId="0" borderId="49" xfId="0" applyNumberFormat="1" applyFont="1" applyBorder="1" applyAlignment="1">
      <alignment horizontal="center" wrapText="1"/>
    </xf>
    <xf numFmtId="164" fontId="13" fillId="4" borderId="47" xfId="2" applyNumberFormat="1" applyFont="1" applyFill="1" applyBorder="1"/>
    <xf numFmtId="164" fontId="13" fillId="4" borderId="15" xfId="2" applyNumberFormat="1" applyFont="1" applyFill="1" applyBorder="1"/>
    <xf numFmtId="164" fontId="11" fillId="0" borderId="0" xfId="2" applyNumberFormat="1" applyFont="1" applyFill="1"/>
    <xf numFmtId="0" fontId="13" fillId="0" borderId="95" xfId="0" applyFont="1" applyBorder="1" applyAlignment="1">
      <alignment horizontal="center"/>
    </xf>
    <xf numFmtId="164" fontId="11" fillId="4" borderId="0" xfId="0" applyNumberFormat="1" applyFont="1" applyFill="1"/>
    <xf numFmtId="0" fontId="117" fillId="17" borderId="46" xfId="0" applyFont="1" applyFill="1" applyBorder="1"/>
    <xf numFmtId="164" fontId="117" fillId="17" borderId="47" xfId="2" applyNumberFormat="1" applyFont="1" applyFill="1" applyBorder="1"/>
    <xf numFmtId="164" fontId="117" fillId="17" borderId="46" xfId="2" applyNumberFormat="1" applyFont="1" applyFill="1" applyBorder="1"/>
    <xf numFmtId="0" fontId="117" fillId="27" borderId="46" xfId="0" applyFont="1" applyFill="1" applyBorder="1"/>
    <xf numFmtId="164" fontId="11" fillId="27" borderId="47" xfId="2" applyNumberFormat="1" applyFont="1" applyFill="1" applyBorder="1"/>
    <xf numFmtId="164" fontId="117" fillId="27" borderId="47" xfId="2" applyNumberFormat="1" applyFont="1" applyFill="1" applyBorder="1"/>
    <xf numFmtId="164" fontId="11" fillId="27" borderId="97" xfId="2" applyNumberFormat="1" applyFont="1" applyFill="1" applyBorder="1"/>
    <xf numFmtId="164" fontId="117" fillId="27" borderId="97" xfId="2" applyNumberFormat="1" applyFont="1" applyFill="1" applyBorder="1"/>
    <xf numFmtId="0" fontId="118" fillId="27" borderId="46" xfId="0" applyFont="1" applyFill="1" applyBorder="1"/>
    <xf numFmtId="164" fontId="118" fillId="27" borderId="47" xfId="2" applyNumberFormat="1" applyFont="1" applyFill="1" applyBorder="1"/>
    <xf numFmtId="0" fontId="118" fillId="27" borderId="59" xfId="0" applyFont="1" applyFill="1" applyBorder="1"/>
    <xf numFmtId="0" fontId="13" fillId="27" borderId="63" xfId="0" applyFont="1" applyFill="1" applyBorder="1" applyAlignment="1">
      <alignment horizontal="center"/>
    </xf>
    <xf numFmtId="164" fontId="13" fillId="27" borderId="65" xfId="2" applyNumberFormat="1" applyFont="1" applyFill="1" applyBorder="1"/>
    <xf numFmtId="0" fontId="11" fillId="27" borderId="43" xfId="0" applyFont="1" applyFill="1" applyBorder="1"/>
    <xf numFmtId="164" fontId="11" fillId="27" borderId="45" xfId="2" applyNumberFormat="1" applyFont="1" applyFill="1" applyBorder="1"/>
    <xf numFmtId="0" fontId="11" fillId="27" borderId="46" xfId="0" applyFont="1" applyFill="1" applyBorder="1"/>
    <xf numFmtId="164" fontId="11" fillId="17" borderId="0" xfId="0" applyNumberFormat="1" applyFont="1" applyFill="1"/>
    <xf numFmtId="0" fontId="11" fillId="4" borderId="64" xfId="0" applyFont="1" applyFill="1" applyBorder="1"/>
    <xf numFmtId="164" fontId="11" fillId="4" borderId="49" xfId="2" applyNumberFormat="1" applyFont="1" applyFill="1" applyBorder="1" applyAlignment="1">
      <alignment horizontal="center"/>
    </xf>
    <xf numFmtId="0" fontId="11" fillId="4" borderId="59" xfId="0" applyFont="1" applyFill="1" applyBorder="1"/>
    <xf numFmtId="164" fontId="11" fillId="4" borderId="60" xfId="2" applyNumberFormat="1" applyFont="1" applyFill="1" applyBorder="1"/>
    <xf numFmtId="0" fontId="11" fillId="4" borderId="46" xfId="0" applyFont="1" applyFill="1" applyBorder="1"/>
    <xf numFmtId="164" fontId="11" fillId="4" borderId="47" xfId="2" applyNumberFormat="1" applyFont="1" applyFill="1" applyBorder="1"/>
    <xf numFmtId="44" fontId="11" fillId="0" borderId="0" xfId="0" applyNumberFormat="1" applyFont="1" applyFill="1"/>
    <xf numFmtId="0" fontId="13" fillId="27" borderId="62" xfId="0" applyFont="1" applyFill="1" applyBorder="1" applyAlignment="1">
      <alignment horizontal="center"/>
    </xf>
    <xf numFmtId="164" fontId="13" fillId="27" borderId="51" xfId="0" applyNumberFormat="1" applyFont="1" applyFill="1" applyBorder="1"/>
    <xf numFmtId="0" fontId="0" fillId="27" borderId="0" xfId="0" applyFill="1"/>
    <xf numFmtId="0" fontId="13" fillId="27" borderId="0" xfId="0" applyFont="1" applyFill="1"/>
    <xf numFmtId="164" fontId="13" fillId="27" borderId="0" xfId="0" applyNumberFormat="1" applyFont="1" applyFill="1"/>
    <xf numFmtId="164" fontId="11" fillId="27" borderId="0" xfId="0" applyNumberFormat="1" applyFont="1" applyFill="1"/>
    <xf numFmtId="164" fontId="11" fillId="28" borderId="0" xfId="0" applyNumberFormat="1" applyFont="1" applyFill="1"/>
    <xf numFmtId="4" fontId="108" fillId="28" borderId="1" xfId="0" applyNumberFormat="1" applyFont="1" applyFill="1" applyBorder="1"/>
    <xf numFmtId="165" fontId="14" fillId="28" borderId="82" xfId="1" applyNumberFormat="1" applyFont="1" applyFill="1" applyBorder="1"/>
    <xf numFmtId="4" fontId="64" fillId="15" borderId="8" xfId="0" applyNumberFormat="1" applyFont="1" applyFill="1" applyBorder="1"/>
    <xf numFmtId="4" fontId="108" fillId="15" borderId="27" xfId="0" applyNumberFormat="1" applyFont="1" applyFill="1" applyBorder="1"/>
    <xf numFmtId="3" fontId="108" fillId="29" borderId="8" xfId="0" applyNumberFormat="1" applyFont="1" applyFill="1" applyBorder="1"/>
    <xf numFmtId="165" fontId="14" fillId="29" borderId="82" xfId="1" applyNumberFormat="1" applyFont="1" applyFill="1" applyBorder="1"/>
    <xf numFmtId="165" fontId="14" fillId="30" borderId="82" xfId="1" applyNumberFormat="1" applyFont="1" applyFill="1" applyBorder="1"/>
    <xf numFmtId="4" fontId="79" fillId="30" borderId="8" xfId="0" applyNumberFormat="1" applyFont="1" applyFill="1" applyBorder="1"/>
    <xf numFmtId="4" fontId="79" fillId="14" borderId="4" xfId="0" applyNumberFormat="1" applyFont="1" applyFill="1" applyBorder="1"/>
    <xf numFmtId="4" fontId="108" fillId="31" borderId="50" xfId="0" applyNumberFormat="1" applyFont="1" applyFill="1" applyBorder="1"/>
    <xf numFmtId="165" fontId="14" fillId="31" borderId="82" xfId="1" applyNumberFormat="1" applyFont="1" applyFill="1" applyBorder="1"/>
    <xf numFmtId="165" fontId="14" fillId="18" borderId="82" xfId="0" applyNumberFormat="1" applyFont="1" applyFill="1" applyBorder="1"/>
    <xf numFmtId="0" fontId="14" fillId="18" borderId="82" xfId="0" applyFont="1" applyFill="1" applyBorder="1"/>
    <xf numFmtId="164" fontId="14" fillId="18" borderId="84" xfId="2" applyNumberFormat="1" applyFont="1" applyFill="1" applyBorder="1"/>
    <xf numFmtId="3" fontId="14" fillId="18" borderId="85" xfId="0" applyNumberFormat="1" applyFont="1" applyFill="1" applyBorder="1"/>
    <xf numFmtId="3" fontId="14" fillId="18" borderId="82" xfId="0" applyNumberFormat="1" applyFont="1" applyFill="1" applyBorder="1"/>
    <xf numFmtId="164" fontId="14" fillId="18" borderId="82" xfId="2" applyNumberFormat="1" applyFont="1" applyFill="1" applyBorder="1"/>
    <xf numFmtId="0" fontId="14" fillId="18" borderId="86" xfId="0" applyFont="1" applyFill="1" applyBorder="1"/>
    <xf numFmtId="165" fontId="14" fillId="18" borderId="83" xfId="1" applyNumberFormat="1" applyFont="1" applyFill="1" applyBorder="1"/>
    <xf numFmtId="0" fontId="0" fillId="0" borderId="33" xfId="0" applyBorder="1"/>
    <xf numFmtId="0" fontId="0" fillId="4" borderId="11" xfId="0" applyFill="1" applyBorder="1"/>
    <xf numFmtId="0" fontId="0" fillId="4" borderId="23" xfId="0" applyFill="1" applyBorder="1"/>
    <xf numFmtId="0" fontId="0" fillId="4" borderId="13" xfId="0" applyFill="1" applyBorder="1"/>
    <xf numFmtId="0" fontId="39" fillId="4" borderId="41" xfId="0" applyFont="1" applyFill="1" applyBorder="1"/>
    <xf numFmtId="0" fontId="0" fillId="4" borderId="41" xfId="0" applyFill="1" applyBorder="1"/>
    <xf numFmtId="38" fontId="0" fillId="4" borderId="41" xfId="0" applyNumberFormat="1" applyFill="1" applyBorder="1"/>
    <xf numFmtId="38" fontId="39" fillId="4" borderId="41" xfId="0" applyNumberFormat="1" applyFont="1" applyFill="1" applyBorder="1"/>
    <xf numFmtId="44" fontId="0" fillId="4" borderId="0" xfId="0" applyNumberFormat="1" applyFill="1"/>
    <xf numFmtId="164" fontId="14" fillId="0" borderId="107" xfId="2" applyNumberFormat="1" applyFont="1" applyFill="1" applyBorder="1"/>
    <xf numFmtId="164" fontId="63" fillId="0" borderId="0" xfId="2" applyNumberFormat="1" applyFont="1" applyFill="1" applyBorder="1"/>
    <xf numFmtId="43" fontId="14" fillId="0" borderId="15" xfId="1" applyNumberFormat="1" applyFont="1" applyFill="1" applyBorder="1"/>
    <xf numFmtId="165" fontId="14" fillId="0" borderId="34" xfId="1" applyNumberFormat="1" applyFont="1" applyFill="1" applyBorder="1"/>
    <xf numFmtId="0" fontId="69" fillId="0" borderId="14" xfId="0" applyFont="1" applyFill="1" applyBorder="1" applyAlignment="1">
      <alignment horizontal="left"/>
    </xf>
    <xf numFmtId="0" fontId="69" fillId="0" borderId="5" xfId="0" applyFont="1" applyFill="1" applyBorder="1" applyAlignment="1">
      <alignment horizontal="left"/>
    </xf>
    <xf numFmtId="0" fontId="69" fillId="0" borderId="35" xfId="0" applyFont="1" applyFill="1" applyBorder="1" applyAlignment="1">
      <alignment horizontal="left"/>
    </xf>
    <xf numFmtId="0" fontId="114" fillId="0" borderId="14" xfId="0" applyFont="1" applyFill="1" applyBorder="1" applyAlignment="1">
      <alignment horizontal="left"/>
    </xf>
    <xf numFmtId="0" fontId="114" fillId="0" borderId="0" xfId="0" applyFont="1" applyFill="1" applyBorder="1" applyAlignment="1">
      <alignment horizontal="left"/>
    </xf>
    <xf numFmtId="0" fontId="69" fillId="0" borderId="19" xfId="0" applyFont="1" applyFill="1" applyBorder="1" applyAlignment="1">
      <alignment horizontal="left"/>
    </xf>
    <xf numFmtId="0" fontId="69" fillId="0" borderId="56" xfId="0" applyFont="1" applyFill="1" applyBorder="1" applyAlignment="1">
      <alignment horizontal="left"/>
    </xf>
    <xf numFmtId="0" fontId="69" fillId="0" borderId="69" xfId="0" applyFont="1" applyFill="1" applyBorder="1" applyAlignment="1">
      <alignment horizontal="left"/>
    </xf>
    <xf numFmtId="0" fontId="82" fillId="0" borderId="41" xfId="0" applyFont="1" applyBorder="1"/>
    <xf numFmtId="0" fontId="84" fillId="0" borderId="41" xfId="0" applyFont="1" applyBorder="1"/>
    <xf numFmtId="8" fontId="82" fillId="0" borderId="0" xfId="0" applyNumberFormat="1" applyFont="1"/>
    <xf numFmtId="0" fontId="82" fillId="0" borderId="0" xfId="0" applyFont="1"/>
    <xf numFmtId="38" fontId="0" fillId="10" borderId="41" xfId="0" applyNumberFormat="1" applyFill="1" applyBorder="1"/>
    <xf numFmtId="0" fontId="0" fillId="16" borderId="0" xfId="0" applyFill="1"/>
    <xf numFmtId="0" fontId="0" fillId="26" borderId="0" xfId="0" applyFont="1" applyFill="1"/>
    <xf numFmtId="0" fontId="81" fillId="0" borderId="0" xfId="0" applyFont="1"/>
    <xf numFmtId="172" fontId="0" fillId="11" borderId="0" xfId="1" applyNumberFormat="1" applyFont="1" applyFill="1"/>
    <xf numFmtId="165" fontId="0" fillId="0" borderId="11" xfId="1" applyNumberFormat="1" applyFont="1" applyFill="1" applyBorder="1"/>
    <xf numFmtId="6" fontId="0" fillId="0" borderId="0" xfId="0" applyNumberFormat="1" applyFill="1" applyBorder="1"/>
    <xf numFmtId="165" fontId="0" fillId="0" borderId="17" xfId="1" applyNumberFormat="1" applyFont="1" applyBorder="1"/>
    <xf numFmtId="0" fontId="0" fillId="0" borderId="14" xfId="0" applyFill="1" applyBorder="1" applyAlignment="1">
      <alignment wrapText="1"/>
    </xf>
    <xf numFmtId="0" fontId="0" fillId="0" borderId="19" xfId="0" applyBorder="1" applyAlignment="1">
      <alignment wrapText="1"/>
    </xf>
    <xf numFmtId="0" fontId="114" fillId="10" borderId="0" xfId="0" applyFont="1" applyFill="1" applyBorder="1"/>
    <xf numFmtId="0" fontId="14" fillId="4" borderId="6" xfId="0" applyFont="1" applyFill="1" applyBorder="1" applyAlignment="1">
      <alignment horizontal="center"/>
    </xf>
    <xf numFmtId="164" fontId="11" fillId="4" borderId="0" xfId="2" applyNumberFormat="1" applyFont="1" applyFill="1"/>
    <xf numFmtId="164" fontId="0" fillId="4" borderId="9" xfId="2" applyNumberFormat="1" applyFont="1" applyFill="1" applyBorder="1"/>
    <xf numFmtId="164" fontId="0" fillId="4" borderId="0" xfId="0" applyNumberFormat="1" applyFill="1"/>
    <xf numFmtId="44" fontId="13" fillId="0" borderId="0" xfId="0" applyNumberFormat="1" applyFont="1"/>
    <xf numFmtId="0" fontId="114" fillId="0" borderId="5" xfId="0" applyFont="1" applyFill="1" applyBorder="1" applyAlignment="1">
      <alignment horizontal="left"/>
    </xf>
    <xf numFmtId="0" fontId="69" fillId="0" borderId="0" xfId="0" applyFont="1" applyFill="1" applyBorder="1" applyAlignment="1">
      <alignment horizontal="left"/>
    </xf>
    <xf numFmtId="0" fontId="114" fillId="0" borderId="35" xfId="0" applyFont="1" applyFill="1" applyBorder="1" applyAlignment="1">
      <alignment horizontal="left"/>
    </xf>
    <xf numFmtId="0" fontId="114" fillId="0" borderId="35" xfId="0" applyFont="1" applyFill="1" applyBorder="1"/>
    <xf numFmtId="0" fontId="69" fillId="0" borderId="0" xfId="0" applyFont="1" applyFill="1" applyBorder="1"/>
    <xf numFmtId="0" fontId="114" fillId="10" borderId="35" xfId="0" applyFont="1" applyFill="1" applyBorder="1"/>
    <xf numFmtId="4" fontId="69" fillId="0" borderId="8" xfId="0" applyNumberFormat="1" applyFont="1" applyFill="1" applyBorder="1"/>
    <xf numFmtId="0" fontId="12" fillId="0" borderId="35" xfId="0" applyFont="1" applyFill="1" applyBorder="1" applyAlignment="1">
      <alignment vertical="center"/>
    </xf>
    <xf numFmtId="0" fontId="69" fillId="4" borderId="29" xfId="0" applyFont="1" applyFill="1" applyBorder="1" applyAlignment="1">
      <alignment horizontal="left"/>
    </xf>
    <xf numFmtId="0" fontId="69" fillId="4" borderId="33" xfId="0" applyFont="1" applyFill="1" applyBorder="1" applyAlignment="1">
      <alignment horizontal="left"/>
    </xf>
    <xf numFmtId="0" fontId="114" fillId="4" borderId="29" xfId="0" applyFont="1" applyFill="1" applyBorder="1" applyAlignment="1">
      <alignment horizontal="left"/>
    </xf>
    <xf numFmtId="0" fontId="69" fillId="15" borderId="29" xfId="0" applyFont="1" applyFill="1" applyBorder="1" applyAlignment="1">
      <alignment horizontal="left"/>
    </xf>
    <xf numFmtId="0" fontId="114" fillId="15" borderId="29" xfId="0" applyFont="1" applyFill="1" applyBorder="1" applyAlignment="1">
      <alignment horizontal="left"/>
    </xf>
    <xf numFmtId="0" fontId="69" fillId="14" borderId="29" xfId="0" applyFont="1" applyFill="1" applyBorder="1" applyAlignment="1">
      <alignment horizontal="left"/>
    </xf>
    <xf numFmtId="0" fontId="114" fillId="32" borderId="29" xfId="0" applyFont="1" applyFill="1" applyBorder="1" applyAlignment="1">
      <alignment horizontal="left"/>
    </xf>
    <xf numFmtId="0" fontId="11" fillId="0" borderId="0" xfId="0" applyFont="1" applyFill="1" applyAlignment="1">
      <alignment horizontal="left" wrapText="1"/>
    </xf>
    <xf numFmtId="170" fontId="20" fillId="0" borderId="0" xfId="0" applyNumberFormat="1" applyFont="1" applyFill="1" applyAlignment="1">
      <alignment horizontal="center"/>
    </xf>
    <xf numFmtId="0" fontId="13" fillId="0" borderId="0" xfId="0" applyFont="1" applyFill="1" applyAlignment="1">
      <alignment horizontal="center"/>
    </xf>
    <xf numFmtId="170" fontId="26" fillId="0" borderId="0" xfId="0" applyNumberFormat="1" applyFont="1" applyFill="1" applyAlignment="1">
      <alignment horizontal="center"/>
    </xf>
    <xf numFmtId="0" fontId="13" fillId="0" borderId="0" xfId="0" applyFont="1" applyAlignment="1">
      <alignment horizontal="center"/>
    </xf>
    <xf numFmtId="170" fontId="20" fillId="0" borderId="0" xfId="0" applyNumberFormat="1" applyFont="1" applyAlignment="1">
      <alignment horizontal="center"/>
    </xf>
    <xf numFmtId="170" fontId="26" fillId="0" borderId="0" xfId="0" applyNumberFormat="1" applyFont="1" applyAlignment="1">
      <alignment horizontal="center"/>
    </xf>
    <xf numFmtId="0" fontId="88" fillId="4" borderId="23" xfId="0" applyFont="1" applyFill="1" applyBorder="1" applyAlignment="1">
      <alignment vertical="center"/>
    </xf>
    <xf numFmtId="0" fontId="88" fillId="4" borderId="29" xfId="0" applyFont="1" applyFill="1" applyBorder="1" applyAlignment="1">
      <alignment vertical="center"/>
    </xf>
    <xf numFmtId="0" fontId="88" fillId="0" borderId="23" xfId="0" applyFont="1" applyBorder="1" applyAlignment="1">
      <alignment vertical="center"/>
    </xf>
    <xf numFmtId="0" fontId="88" fillId="0" borderId="29" xfId="0" applyFont="1" applyBorder="1" applyAlignment="1">
      <alignment vertical="center"/>
    </xf>
    <xf numFmtId="0" fontId="71" fillId="0" borderId="29" xfId="0" applyFont="1" applyBorder="1" applyAlignment="1">
      <alignment vertical="center"/>
    </xf>
    <xf numFmtId="0" fontId="87" fillId="0" borderId="29" xfId="0" applyFont="1" applyBorder="1" applyAlignment="1">
      <alignment vertical="center"/>
    </xf>
    <xf numFmtId="0" fontId="78" fillId="0" borderId="0" xfId="0" applyFont="1" applyAlignment="1">
      <alignment vertical="center"/>
    </xf>
    <xf numFmtId="0" fontId="78" fillId="0" borderId="16" xfId="0" applyFont="1" applyBorder="1" applyAlignment="1">
      <alignment vertical="center"/>
    </xf>
    <xf numFmtId="0" fontId="77" fillId="0" borderId="23" xfId="0" applyFont="1" applyBorder="1"/>
    <xf numFmtId="0" fontId="77" fillId="0" borderId="29" xfId="0" applyFont="1" applyBorder="1"/>
    <xf numFmtId="0" fontId="77" fillId="4" borderId="23" xfId="0" applyFont="1" applyFill="1" applyBorder="1"/>
    <xf numFmtId="0" fontId="77" fillId="4" borderId="29" xfId="0" applyFont="1" applyFill="1" applyBorder="1"/>
    <xf numFmtId="0" fontId="12" fillId="0" borderId="29" xfId="0" applyFont="1" applyBorder="1" applyAlignment="1">
      <alignment vertical="center"/>
    </xf>
    <xf numFmtId="0" fontId="64" fillId="0" borderId="29" xfId="0" applyFont="1" applyBorder="1" applyAlignment="1">
      <alignment vertical="center"/>
    </xf>
    <xf numFmtId="3" fontId="12" fillId="0" borderId="29" xfId="0" applyNumberFormat="1" applyFont="1" applyBorder="1" applyAlignment="1">
      <alignment horizontal="right" vertical="center"/>
    </xf>
    <xf numFmtId="0" fontId="67" fillId="7" borderId="29" xfId="0" applyFont="1" applyFill="1" applyBorder="1" applyAlignment="1">
      <alignment vertical="center"/>
    </xf>
    <xf numFmtId="0" fontId="67" fillId="7" borderId="33" xfId="0" applyFont="1" applyFill="1" applyBorder="1" applyAlignment="1">
      <alignment vertical="center"/>
    </xf>
    <xf numFmtId="0" fontId="66" fillId="7" borderId="23" xfId="0" applyFont="1" applyFill="1" applyBorder="1" applyAlignment="1">
      <alignment horizontal="center" vertical="center"/>
    </xf>
    <xf numFmtId="0" fontId="66" fillId="7" borderId="33" xfId="0" applyFont="1" applyFill="1" applyBorder="1" applyAlignment="1">
      <alignment horizontal="center" vertical="center"/>
    </xf>
    <xf numFmtId="0" fontId="40" fillId="0" borderId="16" xfId="0" applyFont="1" applyBorder="1" applyAlignment="1">
      <alignment horizontal="center"/>
    </xf>
    <xf numFmtId="0" fontId="40" fillId="0" borderId="16" xfId="5" applyFont="1" applyBorder="1" applyAlignment="1">
      <alignment horizontal="center"/>
    </xf>
    <xf numFmtId="0" fontId="13" fillId="0" borderId="0" xfId="0" applyFont="1" applyAlignment="1">
      <alignment horizontal="center" wrapText="1"/>
    </xf>
    <xf numFmtId="0" fontId="14" fillId="0" borderId="0" xfId="0" applyFont="1" applyAlignment="1">
      <alignment horizontal="left"/>
    </xf>
    <xf numFmtId="0" fontId="14" fillId="0" borderId="0" xfId="0" applyFont="1"/>
    <xf numFmtId="0" fontId="13" fillId="0" borderId="23" xfId="0" applyFont="1" applyBorder="1" applyAlignment="1">
      <alignment horizontal="center"/>
    </xf>
    <xf numFmtId="0" fontId="13" fillId="0" borderId="33" xfId="0" applyFont="1" applyBorder="1" applyAlignment="1">
      <alignment horizontal="center"/>
    </xf>
    <xf numFmtId="0" fontId="12" fillId="0" borderId="12" xfId="0" applyFont="1" applyBorder="1"/>
    <xf numFmtId="0" fontId="100" fillId="13" borderId="1" xfId="0" applyFont="1" applyFill="1" applyBorder="1" applyAlignment="1">
      <alignment horizontal="center"/>
    </xf>
    <xf numFmtId="0" fontId="100" fillId="13" borderId="6" xfId="0" applyFont="1" applyFill="1" applyBorder="1" applyAlignment="1">
      <alignment horizontal="center"/>
    </xf>
    <xf numFmtId="0" fontId="100" fillId="13" borderId="7" xfId="0" applyFont="1" applyFill="1" applyBorder="1" applyAlignment="1">
      <alignment horizontal="center"/>
    </xf>
    <xf numFmtId="0" fontId="100" fillId="13" borderId="4" xfId="0" applyFont="1" applyFill="1" applyBorder="1" applyAlignment="1">
      <alignment horizontal="center"/>
    </xf>
    <xf numFmtId="0" fontId="100" fillId="13" borderId="9" xfId="0" applyFont="1" applyFill="1" applyBorder="1" applyAlignment="1">
      <alignment horizontal="center"/>
    </xf>
    <xf numFmtId="0" fontId="100" fillId="13" borderId="10" xfId="0" applyFont="1" applyFill="1" applyBorder="1" applyAlignment="1">
      <alignment horizontal="center"/>
    </xf>
  </cellXfs>
  <cellStyles count="38">
    <cellStyle name="Comma" xfId="1" builtinId="3"/>
    <cellStyle name="Comma 2" xfId="7" xr:uid="{00000000-0005-0000-0000-000001000000}"/>
    <cellStyle name="Comma 2 2" xfId="11" xr:uid="{00000000-0005-0000-0000-000002000000}"/>
    <cellStyle name="Comma 2 2 2" xfId="14" xr:uid="{00000000-0005-0000-0000-000003000000}"/>
    <cellStyle name="Comma 2 3" xfId="15" xr:uid="{00000000-0005-0000-0000-000004000000}"/>
    <cellStyle name="Comma 3" xfId="16" xr:uid="{00000000-0005-0000-0000-000005000000}"/>
    <cellStyle name="Comma 4" xfId="26" xr:uid="{00000000-0005-0000-0000-000006000000}"/>
    <cellStyle name="Currency" xfId="2" builtinId="4"/>
    <cellStyle name="Currency 2" xfId="6" xr:uid="{00000000-0005-0000-0000-000008000000}"/>
    <cellStyle name="Currency 2 2" xfId="12" xr:uid="{00000000-0005-0000-0000-000009000000}"/>
    <cellStyle name="Currency 2 2 2" xfId="17" xr:uid="{00000000-0005-0000-0000-00000A000000}"/>
    <cellStyle name="Currency 2 3" xfId="18" xr:uid="{00000000-0005-0000-0000-00000B000000}"/>
    <cellStyle name="Currency 3" xfId="19" xr:uid="{00000000-0005-0000-0000-00000C000000}"/>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Hyperlink" xfId="28" builtinId="8" hidden="1"/>
    <cellStyle name="Hyperlink" xfId="30" builtinId="8" hidden="1"/>
    <cellStyle name="Hyperlink" xfId="32" builtinId="8" hidden="1"/>
    <cellStyle name="Hyperlink" xfId="34" builtinId="8" hidden="1"/>
    <cellStyle name="Hyperlink" xfId="36" builtinId="8" hidden="1"/>
    <cellStyle name="Normal" xfId="0" builtinId="0"/>
    <cellStyle name="Normal 2" xfId="5" xr:uid="{00000000-0005-0000-0000-000018000000}"/>
    <cellStyle name="Normal 2 2" xfId="10" xr:uid="{00000000-0005-0000-0000-000019000000}"/>
    <cellStyle name="Normal 2 3" xfId="20" xr:uid="{00000000-0005-0000-0000-00001A000000}"/>
    <cellStyle name="Normal 2 4" xfId="21" xr:uid="{00000000-0005-0000-0000-00001B000000}"/>
    <cellStyle name="Normal 3" xfId="9" xr:uid="{00000000-0005-0000-0000-00001C000000}"/>
    <cellStyle name="Normal 4" xfId="25" xr:uid="{00000000-0005-0000-0000-00001D000000}"/>
    <cellStyle name="Normal_SB361_calcFHDA" xfId="3" xr:uid="{00000000-0005-0000-0000-00001E000000}"/>
    <cellStyle name="Percent" xfId="4" builtinId="5"/>
    <cellStyle name="Percent 2" xfId="8" xr:uid="{00000000-0005-0000-0000-000020000000}"/>
    <cellStyle name="Percent 2 2" xfId="13" xr:uid="{00000000-0005-0000-0000-000021000000}"/>
    <cellStyle name="Percent 2 2 2" xfId="22" xr:uid="{00000000-0005-0000-0000-000022000000}"/>
    <cellStyle name="Percent 2 3" xfId="23" xr:uid="{00000000-0005-0000-0000-000023000000}"/>
    <cellStyle name="Percent 3" xfId="24" xr:uid="{00000000-0005-0000-0000-000024000000}"/>
    <cellStyle name="Percent 4" xfId="27" xr:uid="{00000000-0005-0000-0000-00002500000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externalLink" Target="externalLinks/externalLink9.xml"/><Relationship Id="rId47" Type="http://schemas.openxmlformats.org/officeDocument/2006/relationships/externalLink" Target="externalLinks/externalLink14.xml"/><Relationship Id="rId63" Type="http://schemas.openxmlformats.org/officeDocument/2006/relationships/externalLink" Target="externalLinks/externalLink30.xml"/><Relationship Id="rId68" Type="http://schemas.openxmlformats.org/officeDocument/2006/relationships/externalLink" Target="externalLinks/externalLink35.xml"/><Relationship Id="rId84" Type="http://schemas.openxmlformats.org/officeDocument/2006/relationships/externalLink" Target="externalLinks/externalLink51.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externalLink" Target="externalLinks/externalLink4.xml"/><Relationship Id="rId53" Type="http://schemas.openxmlformats.org/officeDocument/2006/relationships/externalLink" Target="externalLinks/externalLink20.xml"/><Relationship Id="rId58" Type="http://schemas.openxmlformats.org/officeDocument/2006/relationships/externalLink" Target="externalLinks/externalLink25.xml"/><Relationship Id="rId74" Type="http://schemas.openxmlformats.org/officeDocument/2006/relationships/externalLink" Target="externalLinks/externalLink41.xml"/><Relationship Id="rId79" Type="http://schemas.openxmlformats.org/officeDocument/2006/relationships/externalLink" Target="externalLinks/externalLink46.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externalLink" Target="externalLinks/externalLink10.xml"/><Relationship Id="rId48" Type="http://schemas.openxmlformats.org/officeDocument/2006/relationships/externalLink" Target="externalLinks/externalLink15.xml"/><Relationship Id="rId56" Type="http://schemas.openxmlformats.org/officeDocument/2006/relationships/externalLink" Target="externalLinks/externalLink23.xml"/><Relationship Id="rId64" Type="http://schemas.openxmlformats.org/officeDocument/2006/relationships/externalLink" Target="externalLinks/externalLink31.xml"/><Relationship Id="rId69" Type="http://schemas.openxmlformats.org/officeDocument/2006/relationships/externalLink" Target="externalLinks/externalLink36.xml"/><Relationship Id="rId77" Type="http://schemas.openxmlformats.org/officeDocument/2006/relationships/externalLink" Target="externalLinks/externalLink44.xml"/><Relationship Id="rId8" Type="http://schemas.openxmlformats.org/officeDocument/2006/relationships/worksheet" Target="worksheets/sheet8.xml"/><Relationship Id="rId51" Type="http://schemas.openxmlformats.org/officeDocument/2006/relationships/externalLink" Target="externalLinks/externalLink18.xml"/><Relationship Id="rId72" Type="http://schemas.openxmlformats.org/officeDocument/2006/relationships/externalLink" Target="externalLinks/externalLink39.xml"/><Relationship Id="rId80" Type="http://schemas.openxmlformats.org/officeDocument/2006/relationships/externalLink" Target="externalLinks/externalLink47.xml"/><Relationship Id="rId85" Type="http://schemas.openxmlformats.org/officeDocument/2006/relationships/externalLink" Target="externalLinks/externalLink5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 Id="rId46" Type="http://schemas.openxmlformats.org/officeDocument/2006/relationships/externalLink" Target="externalLinks/externalLink13.xml"/><Relationship Id="rId59" Type="http://schemas.openxmlformats.org/officeDocument/2006/relationships/externalLink" Target="externalLinks/externalLink26.xml"/><Relationship Id="rId67" Type="http://schemas.openxmlformats.org/officeDocument/2006/relationships/externalLink" Target="externalLinks/externalLink34.xml"/><Relationship Id="rId20" Type="http://schemas.openxmlformats.org/officeDocument/2006/relationships/worksheet" Target="worksheets/sheet20.xml"/><Relationship Id="rId41" Type="http://schemas.openxmlformats.org/officeDocument/2006/relationships/externalLink" Target="externalLinks/externalLink8.xml"/><Relationship Id="rId54" Type="http://schemas.openxmlformats.org/officeDocument/2006/relationships/externalLink" Target="externalLinks/externalLink21.xml"/><Relationship Id="rId62" Type="http://schemas.openxmlformats.org/officeDocument/2006/relationships/externalLink" Target="externalLinks/externalLink29.xml"/><Relationship Id="rId70" Type="http://schemas.openxmlformats.org/officeDocument/2006/relationships/externalLink" Target="externalLinks/externalLink37.xml"/><Relationship Id="rId75" Type="http://schemas.openxmlformats.org/officeDocument/2006/relationships/externalLink" Target="externalLinks/externalLink42.xml"/><Relationship Id="rId83" Type="http://schemas.openxmlformats.org/officeDocument/2006/relationships/externalLink" Target="externalLinks/externalLink50.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49" Type="http://schemas.openxmlformats.org/officeDocument/2006/relationships/externalLink" Target="externalLinks/externalLink16.xml"/><Relationship Id="rId57" Type="http://schemas.openxmlformats.org/officeDocument/2006/relationships/externalLink" Target="externalLinks/externalLink2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externalLink" Target="externalLinks/externalLink11.xml"/><Relationship Id="rId52" Type="http://schemas.openxmlformats.org/officeDocument/2006/relationships/externalLink" Target="externalLinks/externalLink19.xml"/><Relationship Id="rId60" Type="http://schemas.openxmlformats.org/officeDocument/2006/relationships/externalLink" Target="externalLinks/externalLink27.xml"/><Relationship Id="rId65" Type="http://schemas.openxmlformats.org/officeDocument/2006/relationships/externalLink" Target="externalLinks/externalLink32.xml"/><Relationship Id="rId73" Type="http://schemas.openxmlformats.org/officeDocument/2006/relationships/externalLink" Target="externalLinks/externalLink40.xml"/><Relationship Id="rId78" Type="http://schemas.openxmlformats.org/officeDocument/2006/relationships/externalLink" Target="externalLinks/externalLink45.xml"/><Relationship Id="rId81" Type="http://schemas.openxmlformats.org/officeDocument/2006/relationships/externalLink" Target="externalLinks/externalLink48.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6.xml"/><Relationship Id="rId34" Type="http://schemas.openxmlformats.org/officeDocument/2006/relationships/externalLink" Target="externalLinks/externalLink1.xml"/><Relationship Id="rId50" Type="http://schemas.openxmlformats.org/officeDocument/2006/relationships/externalLink" Target="externalLinks/externalLink17.xml"/><Relationship Id="rId55" Type="http://schemas.openxmlformats.org/officeDocument/2006/relationships/externalLink" Target="externalLinks/externalLink22.xml"/><Relationship Id="rId76" Type="http://schemas.openxmlformats.org/officeDocument/2006/relationships/externalLink" Target="externalLinks/externalLink43.xml"/><Relationship Id="rId7" Type="http://schemas.openxmlformats.org/officeDocument/2006/relationships/worksheet" Target="worksheets/sheet7.xml"/><Relationship Id="rId71" Type="http://schemas.openxmlformats.org/officeDocument/2006/relationships/externalLink" Target="externalLinks/externalLink38.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externalLink" Target="externalLinks/externalLink7.xml"/><Relationship Id="rId45" Type="http://schemas.openxmlformats.org/officeDocument/2006/relationships/externalLink" Target="externalLinks/externalLink12.xml"/><Relationship Id="rId66" Type="http://schemas.openxmlformats.org/officeDocument/2006/relationships/externalLink" Target="externalLinks/externalLink33.xml"/><Relationship Id="rId87" Type="http://schemas.openxmlformats.org/officeDocument/2006/relationships/styles" Target="styles.xml"/><Relationship Id="rId61" Type="http://schemas.openxmlformats.org/officeDocument/2006/relationships/externalLink" Target="externalLinks/externalLink28.xml"/><Relationship Id="rId82" Type="http://schemas.openxmlformats.org/officeDocument/2006/relationships/externalLink" Target="externalLinks/externalLink49.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2" Type="http://schemas.openxmlformats.org/officeDocument/2006/relationships/image" Target="cid:image004.png@01CD507F.23B02EF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38100</xdr:colOff>
      <xdr:row>79</xdr:row>
      <xdr:rowOff>38100</xdr:rowOff>
    </xdr:from>
    <xdr:to>
      <xdr:col>6</xdr:col>
      <xdr:colOff>466725</xdr:colOff>
      <xdr:row>95</xdr:row>
      <xdr:rowOff>57150</xdr:rowOff>
    </xdr:to>
    <xdr:sp macro="" textlink="">
      <xdr:nvSpPr>
        <xdr:cNvPr id="3" name="TextBox 2">
          <a:extLst>
            <a:ext uri="{FF2B5EF4-FFF2-40B4-BE49-F238E27FC236}">
              <a16:creationId xmlns:a16="http://schemas.microsoft.com/office/drawing/2014/main" id="{00000000-0008-0000-1B00-000003000000}"/>
            </a:ext>
          </a:extLst>
        </xdr:cNvPr>
        <xdr:cNvSpPr txBox="1"/>
      </xdr:nvSpPr>
      <xdr:spPr>
        <a:xfrm>
          <a:off x="38100" y="2962275"/>
          <a:ext cx="5486400" cy="3067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Fire alarm costs increase</a:t>
          </a:r>
          <a:r>
            <a:rPr lang="en-US" sz="1100" baseline="0"/>
            <a:t> in 09-10 is due to the remaining buildings at each campus coming off the 5-year Del Monte service contract, which was funded at with capital costs at the time of the renovation contract, and the addition of the SKY and CAN Facility Maintenance Centers.</a:t>
          </a:r>
        </a:p>
        <a:p>
          <a:endParaRPr lang="en-US" sz="1100" baseline="0"/>
        </a:p>
        <a:p>
          <a:r>
            <a:rPr lang="en-US" sz="1100" baseline="0"/>
            <a:t>2.  Fire Alarm costs increase in 10-11 is due to the new buildings being constructed (CSM 5N and 10N, SKY 4N and 11N).</a:t>
          </a:r>
        </a:p>
        <a:p>
          <a:endParaRPr lang="en-US" sz="1100" baseline="0"/>
        </a:p>
        <a:p>
          <a:r>
            <a:rPr lang="en-US" sz="1100"/>
            <a:t>3.  ACAMS cost will stay consistent over the next two years, as we add</a:t>
          </a:r>
          <a:r>
            <a:rPr lang="en-US" sz="1100" baseline="0"/>
            <a:t> more functionality to the system with securtiy cameras.  The cost will deacrease to an estimate $48,000/yr in 11-12.</a:t>
          </a:r>
        </a:p>
        <a:p>
          <a:endParaRPr lang="en-US" sz="1100" baseline="0"/>
        </a:p>
        <a:p>
          <a:r>
            <a:rPr lang="en-US" sz="1100" baseline="0"/>
            <a:t>4.  BMS costs will increase in the next two years as more equipment is added for new and renovated buildings, but will then decrease as our staff receive more training on maintenance and repair of the system.</a:t>
          </a:r>
        </a:p>
        <a:p>
          <a:endParaRPr lang="en-US" sz="1100" baseline="0"/>
        </a:p>
        <a:p>
          <a:r>
            <a:rPr lang="en-US" sz="1100" baseline="0"/>
            <a:t>5.  3% inflation costs have been built into the service agreements.</a:t>
          </a:r>
          <a:endParaRPr lang="en-US" sz="1100"/>
        </a:p>
      </xdr:txBody>
    </xdr:sp>
    <xdr:clientData/>
  </xdr:twoCellAnchor>
  <xdr:twoCellAnchor>
    <xdr:from>
      <xdr:col>7</xdr:col>
      <xdr:colOff>0</xdr:colOff>
      <xdr:row>79</xdr:row>
      <xdr:rowOff>0</xdr:rowOff>
    </xdr:from>
    <xdr:to>
      <xdr:col>12</xdr:col>
      <xdr:colOff>215900</xdr:colOff>
      <xdr:row>86</xdr:row>
      <xdr:rowOff>95250</xdr:rowOff>
    </xdr:to>
    <xdr:pic>
      <xdr:nvPicPr>
        <xdr:cNvPr id="4" name="Picture 3" descr="1.  ACAMS cost originally did not consider the addition of  Video Surveillance to our system.  Additional ACAMS and cameras are being installed as we build new buildings (CSM 5/10, SKY 4/11), modernize existing ones (CAN 5/6) and upgrade sitework (parking and roadways).  Costs include licensing and projection for upgrade and replacement of aging hardware and components through the years.&#10;2.  BMS cost updated to reflect what is actually contracted to date - also due to additional equipment installed due to new and modernized buildings.&#10;3.  3% inflation costs have been built into the service agreements.&#10;">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845300" y="13817600"/>
          <a:ext cx="5010150" cy="1212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38100</xdr:colOff>
      <xdr:row>79</xdr:row>
      <xdr:rowOff>38100</xdr:rowOff>
    </xdr:from>
    <xdr:to>
      <xdr:col>22</xdr:col>
      <xdr:colOff>603250</xdr:colOff>
      <xdr:row>88</xdr:row>
      <xdr:rowOff>119063</xdr:rowOff>
    </xdr:to>
    <xdr:sp macro="" textlink="">
      <xdr:nvSpPr>
        <xdr:cNvPr id="5" name="TextBox 4">
          <a:extLst>
            <a:ext uri="{FF2B5EF4-FFF2-40B4-BE49-F238E27FC236}">
              <a16:creationId xmlns:a16="http://schemas.microsoft.com/office/drawing/2014/main" id="{00000000-0008-0000-1B00-000005000000}"/>
            </a:ext>
          </a:extLst>
        </xdr:cNvPr>
        <xdr:cNvSpPr txBox="1"/>
      </xdr:nvSpPr>
      <xdr:spPr>
        <a:xfrm>
          <a:off x="38100" y="3048000"/>
          <a:ext cx="7823200" cy="173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ACAMS and V cost reduced by $100K</a:t>
          </a:r>
          <a:r>
            <a:rPr lang="en-US" sz="1100" baseline="0"/>
            <a:t> due to ITS taking on Exaq and AMAG Licensing renewals as well as Video component maintenance services.  ACAMS maintenance services will remain under FPMO.</a:t>
          </a:r>
        </a:p>
        <a:p>
          <a:endParaRPr lang="en-US" sz="1100" baseline="0"/>
        </a:p>
        <a:p>
          <a:r>
            <a:rPr lang="en-US" sz="1100" baseline="0"/>
            <a:t>2.  BMS cost updated to reflect what is actually contracted to date - also due to additional equipment installed due to new and modernized buildings.</a:t>
          </a:r>
        </a:p>
        <a:p>
          <a:endParaRPr lang="en-US" sz="1100" baseline="0"/>
        </a:p>
        <a:p>
          <a:r>
            <a:rPr lang="en-US" sz="1100" baseline="0"/>
            <a:t>3.  Generator Maintenance is for generator permits and related maint expenses plus any decommissioning expenses for SKY and CSM cogens.</a:t>
          </a:r>
          <a:endParaRPr lang="en-US" sz="1100"/>
        </a:p>
      </xdr:txBody>
    </xdr:sp>
    <xdr:clientData/>
  </xdr:twoCellAnchor>
  <xdr:twoCellAnchor>
    <xdr:from>
      <xdr:col>24</xdr:col>
      <xdr:colOff>38100</xdr:colOff>
      <xdr:row>79</xdr:row>
      <xdr:rowOff>38100</xdr:rowOff>
    </xdr:from>
    <xdr:to>
      <xdr:col>33</xdr:col>
      <xdr:colOff>603250</xdr:colOff>
      <xdr:row>88</xdr:row>
      <xdr:rowOff>119063</xdr:rowOff>
    </xdr:to>
    <xdr:sp macro="" textlink="">
      <xdr:nvSpPr>
        <xdr:cNvPr id="6" name="TextBox 5">
          <a:extLst>
            <a:ext uri="{FF2B5EF4-FFF2-40B4-BE49-F238E27FC236}">
              <a16:creationId xmlns:a16="http://schemas.microsoft.com/office/drawing/2014/main" id="{00000000-0008-0000-1B00-000006000000}"/>
            </a:ext>
          </a:extLst>
        </xdr:cNvPr>
        <xdr:cNvSpPr txBox="1"/>
      </xdr:nvSpPr>
      <xdr:spPr>
        <a:xfrm>
          <a:off x="38100" y="3048000"/>
          <a:ext cx="7918450" cy="173831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  In</a:t>
          </a:r>
          <a:r>
            <a:rPr lang="en-US" sz="1100" baseline="0"/>
            <a:t> FY13-14,</a:t>
          </a:r>
          <a:r>
            <a:rPr lang="en-US" sz="1100"/>
            <a:t> ACAMS and Video cost reduced by $100K</a:t>
          </a:r>
          <a:r>
            <a:rPr lang="en-US" sz="1100" baseline="0"/>
            <a:t> due to ITS taking on Exaq and AMAG Licensing renewals as well as Video component maintenance services.  ACAMS maintenance services will remain under FPMO.</a:t>
          </a:r>
        </a:p>
        <a:p>
          <a:endParaRPr lang="en-US" sz="1100" baseline="0"/>
        </a:p>
        <a:p>
          <a:r>
            <a:rPr lang="en-US" sz="1100" baseline="0"/>
            <a:t>2.  BMS cost updated to reflect what is actually contracted to date - also due to additional equipment installed due to new and modernized buildings.</a:t>
          </a:r>
        </a:p>
        <a:p>
          <a:endParaRPr lang="en-US" sz="1100" baseline="0"/>
        </a:p>
        <a:p>
          <a:r>
            <a:rPr lang="en-US" sz="1100" baseline="0"/>
            <a:t>3.  Generator Maintenance is for generator permits and related maint expenses plus any decommissioning expenses for SKY and CSM cogens.</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Docs/Resource%20Allocation/Resource%20Alloc%20Sample%201-23-05.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Budget%20Process\Intl%20Ed%20Allocation%20Model%2015-16.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Local\Microsoft\Windows\Temporary%20Internet%20Files\Content.Outlook\BK8L43J6\Intl%20Ed%20Allocation%20Model.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Budget%20Process\1516%20Site%20Salary%20Adjustments%20incl%20benes%20to%20Kathy%20final.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Budget%20Process\2015-16%20SMCCCF%20Staff%20Payroll%20Report%20Updated%20with%20COLA.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5-16%20Tentative%20Budget\Resource_Allocation%2015-16%20Tentative.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Intl%20Ed%20Allocation%20Model.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Adopted%20Budget\1415%20Site%20Salary%20Adjustments%20to%20Kathy%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Tentative%20Budget\Resource_Allocation%2014-15%20Tentative%20Rev.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Resource_Allocation%2012-13%20Adopt%20Rev.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Adopt%20Budget\Resource_Allocation%2013-14%20Adopt%20Re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E\Docs\Resource%20Allocation\Resource%20Alloc%20Sample%201-23-05"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Site%20Salaries%20to%20Kathy%20Apr%202013.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REVISED%20SHARED%20COSTS%20AND%20SERVICES%20August%202013%20Final.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Tentative%20Budget\Resource_Allocation%2013-14%20Tentative%20Budget.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1213%20Site%20Salary%20Adjustments%20fina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Tentative%20Budget\Resource_Allocation%2012-13%20Scenario%20Tentative.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1-12%20Budget%20Process\11-12%20Site%20Salary%20Adjustments%20803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Roaming\Microsoft\Excel\Facilities%20Augmentation%20Feb%202011.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1-12%20Budget%20Process\Resource_Allocation%2011-12%20Scenario%20Adopt.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0-11%20Budget%20Process\1011%20Site%20Salary%20Adjustments%20prelim.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Library\Mail%20Downloads\2010-11%201A%20Site%20Benefit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E/Docs/Resource%20Allocation/Resource%20Alloc%20Sample%201-23-05"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9-10%20Budget%20Process\Resource_Allocation%2009-10%20Scenario.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9-10%20Budget%20Process\09-10%20Site%20Salary%20Adjustments%2041709.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Parking\Parking%20Funding%205.07.09.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7-08%20Adopted%20Budget\Resource%20Allocation%2007-08%20Scenarios%20Shifting.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8-09%20Budget%20Process\Resource%20Allocation%2008-09%20Adopt.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6-07%20Budget%20Process\Resource%20Allocation%2006-07%20Adopted%20Budg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7-08%20Budget%20Process\Resource%20Allocation%2007-08%20Scenario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Documents%20and%20Settings\blackwoodk\My%20Documents\Docs\07-08%20Budget%20Process\06-07%20Site%20Salary%20Adjustments%20Final.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Insurance%20-%202016-2017%20-%20Updated%2007051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Tuition%20Reimbursement%20Program.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smccd.net\Users\slaterb\Desktop\C:\E\Docs\Resource%20Allocation\Resource%20Alloc%20Sample%201-23-05"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Adopted%202017-18\Copy%20of%202017-18%20FINAL%20Misc%20Budget.xlsx"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Budget\Adopted%20Budget\2018:19\BUdget%20Load%202018-19.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Adopted%202017-18\5710%20Legal%20exp%20FY1617.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18-19\FY19%20Preliminary%20DW%20Shared%20Cost_5%25_Increase.xlsx"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2012-13%20%20REV-EXP%20finalKB.xlsx"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Budget%20Process\Rev2014-15%20Comm%20Ed%20total%20budget.xlsx"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4-15%20Budget%20Process\Managed%20Hire%20list%2018000%20as%20of%20April%202014.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Roaming\Microsoft\Excel\insurance%20programs.xlsx"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ppserv1\CSM_Business_Office\Volumes\Budget%20Process\Budget%202017-18-Kathy's%20files\2018-19\Tentative%202018:19\Misc%20Backup\Utility%20projection%20for%20FY18-19%20updated%205-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2013%2004%20Utility%20projection%20for%20FY1314Rev.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Resource_Allocation%2015-16%20Adopted.xlsx"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AppData\Local\Microsoft\Windows\Temporary%20Internet%20Files\Content.Outlook\Y8D2JGFE\2012%2004%20Utility%20projection%20for%20FY1213.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3-14%20Budget%20Process\2013%2004%20Utility%20projection%20for%20FY1314.xlsx"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2-13%20Budget%20Process\12-13%20Utilities%20with%20fund%20breakdow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Adopted%20Budget\Adopted%20Resource%20Allocation%2016-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Budget%202017-18-Kathy's%20files\Intl%20Ed%20Allocation%20Model%2017-1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1617%20Site%20Salary%20Adjustments%20August%209a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ppserv1\CSM_Business_Office\Users\slaterb\Dropbox\Bernata's\%20*SM%20files\FTES\C:\Users\blackwoodk\Documents\Docs\16-17%20Budget%20Process\Fixing%20the%2015-16%20budget%20err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 val="4 colleges"/>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sheetName val="14-15"/>
    </sheet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5"/>
      <sheetName val="15-16"/>
      <sheetName val="13-14"/>
    </sheetNames>
    <sheetDataSet>
      <sheetData sheetId="0" refreshError="1"/>
      <sheetData sheetId="1" refreshError="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Adjust Alloc incl ben inc"/>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roll Updated"/>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5-16"/>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5"/>
      <sheetName val="13-14"/>
      <sheetName val="12-13"/>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4-15 Adjusted Allocatio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4-15"/>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2-13"/>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v-Exp Plan"/>
      <sheetName val="Revenues"/>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 val="4 colleges"/>
    </sheetNames>
    <sheetDataSet>
      <sheetData sheetId="0" refreshError="1"/>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14 Allocation "/>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3-14"/>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13 Allocation"/>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12-13"/>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2 Allocation "/>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11-12"/>
    </sheetNames>
    <sheetDataSet>
      <sheetData sheetId="0" refreshError="1"/>
      <sheetData sheetId="1"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11 Allocation "/>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 val="4 colleges"/>
    </sheetNames>
    <sheetDataSet>
      <sheetData sheetId="0" refreshError="1"/>
      <sheetData sheetId="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Rev-Exp Plan (2)"/>
      <sheetName val="Resource Alloc 09-10"/>
      <sheetName val="Rev-Exp Plan"/>
    </sheetNames>
    <sheetDataSet>
      <sheetData sheetId="0" refreshError="1"/>
      <sheetData sheetId="1" refreshError="1"/>
      <sheetData sheetId="2" refreshError="1"/>
      <sheetData sheetId="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9-10 Allocation"/>
      <sheetName val="08-09 Allocation"/>
      <sheetName val="07-08 Allocation"/>
    </sheetNames>
    <sheetDataSet>
      <sheetData sheetId="0" refreshError="1"/>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s>
    <sheetDataSet>
      <sheetData sheetId="0"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3)"/>
      <sheetName val="Rev-Exp Plan (4)"/>
      <sheetName val="Resource Alloc 07-08"/>
      <sheetName val="Rev-Exp Plan"/>
    </sheetNames>
    <sheetDataSet>
      <sheetData sheetId="0" refreshError="1"/>
      <sheetData sheetId="1" refreshError="1"/>
      <sheetData sheetId="2" refreshError="1"/>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ource Alloc 08-09"/>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nues"/>
      <sheetName val="Resource Alloc 07-08"/>
      <sheetName val="Rev-Exp Plan"/>
    </sheetNames>
    <sheetDataSet>
      <sheetData sheetId="0" refreshError="1"/>
      <sheetData sheetId="1" refreshError="1"/>
      <sheetData sheetId="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6-07 Allocation"/>
    </sheetNames>
    <sheetDataSet>
      <sheetData sheetId="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6-2017"/>
    </sheetNames>
    <sheetDataSet>
      <sheetData sheetId="0"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Year"/>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SC Exp"/>
      <sheetName val="MISC Rev"/>
    </sheetNames>
    <sheetDataSet>
      <sheetData sheetId="0" refreshError="1"/>
      <sheetData sheetId="1">
        <row r="3">
          <cell r="D3">
            <v>50000</v>
          </cell>
        </row>
        <row r="4">
          <cell r="D4">
            <v>30000</v>
          </cell>
        </row>
        <row r="5">
          <cell r="D5">
            <v>110000</v>
          </cell>
        </row>
        <row r="6">
          <cell r="D6">
            <v>250000</v>
          </cell>
        </row>
        <row r="7">
          <cell r="D7">
            <v>450000</v>
          </cell>
        </row>
        <row r="32">
          <cell r="D32">
            <v>60000</v>
          </cell>
        </row>
      </sheetData>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County repayment schedule"/>
      <sheetName val="need corrections in Banner"/>
      <sheetName val="Payment Schedule Tent 18-19"/>
    </sheetNames>
    <sheetDataSet>
      <sheetData sheetId="0">
        <row r="20">
          <cell r="N20">
            <v>1412605.31</v>
          </cell>
        </row>
      </sheetData>
      <sheetData sheetId="1" refreshError="1"/>
      <sheetData sheetId="2" refreshError="1"/>
      <sheetData sheetId="3"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710 (2)"/>
      <sheetName val="5710"/>
      <sheetName val="gokoutd (1)"/>
    </sheetNames>
    <sheetDataSet>
      <sheetData sheetId="0">
        <row r="20">
          <cell r="O20">
            <v>410000</v>
          </cell>
        </row>
      </sheetData>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75">
          <cell r="D75">
            <v>2448608.6205000002</v>
          </cell>
        </row>
      </sheetData>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 2012-13"/>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8000"/>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12"/>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42618proj"/>
      <sheetName val="working 18-19 Tent"/>
      <sheetName val="to RMDRAFTwith fund5"/>
      <sheetName val="proj_g_e 042018"/>
      <sheetName val="usageandcost_detail"/>
      <sheetName val="updated maint fees 2018Apr"/>
    </sheetNames>
    <sheetDataSet>
      <sheetData sheetId="0">
        <row r="9">
          <cell r="F9">
            <v>362364.12</v>
          </cell>
        </row>
        <row r="21">
          <cell r="F21">
            <v>1192641</v>
          </cell>
        </row>
        <row r="22">
          <cell r="F22">
            <v>195000</v>
          </cell>
        </row>
        <row r="23">
          <cell r="F23">
            <v>34840</v>
          </cell>
        </row>
        <row r="24">
          <cell r="F24">
            <v>1680</v>
          </cell>
        </row>
        <row r="26">
          <cell r="F26">
            <v>15000</v>
          </cell>
        </row>
      </sheetData>
      <sheetData sheetId="1" refreshError="1"/>
      <sheetData sheetId="2" refreshError="1"/>
      <sheetData sheetId="3">
        <row r="20">
          <cell r="F20">
            <v>2436374</v>
          </cell>
        </row>
        <row r="37">
          <cell r="F37">
            <v>902600</v>
          </cell>
        </row>
      </sheetData>
      <sheetData sheetId="4" refreshError="1"/>
      <sheetData sheetId="5">
        <row r="12">
          <cell r="F12">
            <v>480583.05</v>
          </cell>
        </row>
      </sheetData>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913with fund5"/>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15-16"/>
    </sheetNames>
    <sheetDataSet>
      <sheetData sheetId="0" refreshError="1"/>
      <sheetData sheetId="1"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312"/>
    </sheetNames>
    <sheetDataSet>
      <sheetData sheetId="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913with fund5"/>
    </sheetNames>
    <sheetDataSet>
      <sheetData sheetId="0"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RM042312with fund5"/>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xp Plan (2)"/>
      <sheetName val="Resource Alloc 16-17"/>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Data"/>
      <sheetName val="facts"/>
      <sheetName val="12-13"/>
      <sheetName val="13-14"/>
      <sheetName val="14-15"/>
      <sheetName val="15-16"/>
      <sheetName val="16-17 (2)"/>
      <sheetName val="17-18 (2)"/>
      <sheetName val="18-19 (2)"/>
      <sheetName val="19-20"/>
      <sheetName val="Budget"/>
    </sheetNames>
    <sheetDataSet>
      <sheetData sheetId="0" refreshError="1"/>
      <sheetData sheetId="1" refreshError="1"/>
      <sheetData sheetId="2" refreshError="1"/>
      <sheetData sheetId="3" refreshError="1"/>
      <sheetData sheetId="4" refreshError="1"/>
      <sheetData sheetId="5" refreshError="1"/>
      <sheetData sheetId="6">
        <row r="13">
          <cell r="B13">
            <v>467443.20000000001</v>
          </cell>
          <cell r="C13">
            <v>1524163.2000000002</v>
          </cell>
          <cell r="D13">
            <v>716083.20000000007</v>
          </cell>
          <cell r="E13">
            <v>541537.92000000004</v>
          </cell>
        </row>
      </sheetData>
      <sheetData sheetId="7">
        <row r="7">
          <cell r="B7">
            <v>910193.77454242937</v>
          </cell>
          <cell r="C7">
            <v>3460600.2212978373</v>
          </cell>
          <cell r="D7">
            <v>1230159.5041597339</v>
          </cell>
          <cell r="E7">
            <v>1172500</v>
          </cell>
          <cell r="F7">
            <v>50000</v>
          </cell>
        </row>
      </sheetData>
      <sheetData sheetId="8">
        <row r="8">
          <cell r="B8">
            <v>-130492.38992704474</v>
          </cell>
        </row>
      </sheetData>
      <sheetData sheetId="9">
        <row r="7">
          <cell r="E7">
            <v>1292681.25</v>
          </cell>
        </row>
      </sheetData>
      <sheetData sheetId="10">
        <row r="7">
          <cell r="E7">
            <v>1357315.3125</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6-17 Adjust Alloc incl ben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comments" Target="../comments16.xml"/><Relationship Id="rId1"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2" Type="http://schemas.openxmlformats.org/officeDocument/2006/relationships/comments" Target="../comments17.xml"/><Relationship Id="rId1"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18.xml"/><Relationship Id="rId1"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1"/>
  <sheetViews>
    <sheetView workbookViewId="0"/>
  </sheetViews>
  <sheetFormatPr defaultColWidth="8.7109375" defaultRowHeight="12.75"/>
  <sheetData>
    <row r="1" spans="1:1">
      <c r="A1" s="1" t="s">
        <v>380</v>
      </c>
    </row>
    <row r="3" spans="1:1">
      <c r="A3" s="1" t="s">
        <v>30</v>
      </c>
    </row>
    <row r="4" spans="1:1">
      <c r="A4" t="s">
        <v>31</v>
      </c>
    </row>
    <row r="5" spans="1:1">
      <c r="A5" s="71" t="s">
        <v>1497</v>
      </c>
    </row>
    <row r="6" spans="1:1">
      <c r="A6" s="1" t="s">
        <v>384</v>
      </c>
    </row>
    <row r="7" spans="1:1">
      <c r="A7" t="s">
        <v>381</v>
      </c>
    </row>
    <row r="8" spans="1:1">
      <c r="A8" s="1" t="s">
        <v>385</v>
      </c>
    </row>
    <row r="9" spans="1:1">
      <c r="A9" t="s">
        <v>383</v>
      </c>
    </row>
    <row r="10" spans="1:1">
      <c r="A10" t="s">
        <v>382</v>
      </c>
    </row>
    <row r="11" spans="1:1">
      <c r="A11" s="1" t="s">
        <v>387</v>
      </c>
    </row>
    <row r="12" spans="1:1">
      <c r="A12" t="s">
        <v>386</v>
      </c>
    </row>
    <row r="13" spans="1:1">
      <c r="A13" s="71" t="s">
        <v>1494</v>
      </c>
    </row>
    <row r="14" spans="1:1">
      <c r="A14" s="1" t="s">
        <v>78</v>
      </c>
    </row>
    <row r="15" spans="1:1">
      <c r="A15" t="s">
        <v>342</v>
      </c>
    </row>
    <row r="16" spans="1:1">
      <c r="A16" s="1" t="s">
        <v>1495</v>
      </c>
    </row>
    <row r="17" spans="1:1">
      <c r="A17" t="s">
        <v>388</v>
      </c>
    </row>
    <row r="18" spans="1:1">
      <c r="A18" s="1" t="s">
        <v>389</v>
      </c>
    </row>
    <row r="19" spans="1:1">
      <c r="A19" s="71" t="s">
        <v>79</v>
      </c>
    </row>
    <row r="20" spans="1:1">
      <c r="A20" s="1" t="s">
        <v>391</v>
      </c>
    </row>
    <row r="21" spans="1:1">
      <c r="A21" t="s">
        <v>390</v>
      </c>
    </row>
    <row r="22" spans="1:1">
      <c r="A22" s="1" t="s">
        <v>80</v>
      </c>
    </row>
    <row r="23" spans="1:1">
      <c r="A23" s="1" t="s">
        <v>343</v>
      </c>
    </row>
    <row r="24" spans="1:1">
      <c r="A24" s="71" t="s">
        <v>81</v>
      </c>
    </row>
    <row r="25" spans="1:1">
      <c r="A25" s="1" t="s">
        <v>706</v>
      </c>
    </row>
    <row r="26" spans="1:1">
      <c r="A26" s="71" t="s">
        <v>944</v>
      </c>
    </row>
    <row r="27" spans="1:1">
      <c r="A27" s="1" t="s">
        <v>1496</v>
      </c>
    </row>
    <row r="31" spans="1:1">
      <c r="A31" s="237"/>
    </row>
  </sheetData>
  <phoneticPr fontId="12" type="noConversion"/>
  <pageMargins left="0.75" right="0.75" top="1" bottom="1" header="0.5" footer="0.5"/>
  <pageSetup orientation="portrait" r:id="rId1"/>
  <headerFooter alignWithMargins="0">
    <oddHeader>&amp;CResource Allocation Workbook
2007/08 Adopted Budget</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18"/>
  <sheetViews>
    <sheetView workbookViewId="0"/>
  </sheetViews>
  <sheetFormatPr defaultColWidth="9.28515625" defaultRowHeight="12.75"/>
  <cols>
    <col min="1" max="1" width="19.42578125" style="849" customWidth="1"/>
    <col min="2" max="5" width="13.42578125" style="849" customWidth="1"/>
    <col min="6" max="6" width="13.42578125" style="849" bestFit="1" customWidth="1"/>
    <col min="7" max="8" width="15" style="849" bestFit="1" customWidth="1"/>
    <col min="9" max="9" width="7" style="4" bestFit="1" customWidth="1"/>
    <col min="10" max="10" width="22.42578125" style="849" bestFit="1" customWidth="1"/>
    <col min="11" max="16384" width="9.28515625" style="849"/>
  </cols>
  <sheetData>
    <row r="1" spans="1:9">
      <c r="A1" s="1" t="s">
        <v>1018</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938</v>
      </c>
      <c r="B9" s="13" t="e">
        <f>+'[5]Resource Alloc 15-16'!B$115</f>
        <v>#REF!</v>
      </c>
      <c r="C9" s="13" t="e">
        <f>+'[5]Resource Alloc 15-16'!C$115</f>
        <v>#REF!</v>
      </c>
      <c r="D9" s="13" t="e">
        <f>+'[5]Resource Alloc 15-16'!D$115</f>
        <v>#REF!</v>
      </c>
      <c r="E9" s="13" t="e">
        <f>+'[5]Resource Alloc 15-16'!E$115</f>
        <v>#REF!</v>
      </c>
      <c r="F9" s="13" t="e">
        <f>+'[5]Resource Alloc 15-16'!F$115</f>
        <v>#REF!</v>
      </c>
      <c r="G9" s="13" t="e">
        <f>+'[5]Resource Alloc 15-16'!G$115</f>
        <v>#REF!</v>
      </c>
      <c r="H9" s="14" t="e">
        <f>SUM(B9:G9)</f>
        <v>#REF!</v>
      </c>
      <c r="I9" s="4" t="s">
        <v>626</v>
      </c>
    </row>
    <row r="10" spans="1:9">
      <c r="A10" s="20"/>
      <c r="B10" s="1159" t="e">
        <f>+B9/SUM($B9:$D9)</f>
        <v>#REF!</v>
      </c>
      <c r="C10" s="1159" t="e">
        <f>+C9/SUM($B9:$D9)</f>
        <v>#REF!</v>
      </c>
      <c r="D10" s="1159" t="e">
        <f>+D9/SUM($B9:$D9)</f>
        <v>#REF!</v>
      </c>
      <c r="E10" s="20"/>
      <c r="F10" s="20"/>
      <c r="G10" s="20"/>
      <c r="H10" s="20"/>
    </row>
    <row r="11" spans="1:9">
      <c r="A11" s="255" t="s">
        <v>934</v>
      </c>
      <c r="B11" s="19" t="e">
        <f>+'[6]Resource Alloc 16-17'!B11</f>
        <v>#REF!</v>
      </c>
      <c r="C11" s="19" t="e">
        <f>+'[6]Resource Alloc 16-17'!C11</f>
        <v>#REF!</v>
      </c>
      <c r="D11" s="19" t="e">
        <f>+'[6]Resource Alloc 16-17'!D11</f>
        <v>#REF!</v>
      </c>
      <c r="E11" s="16"/>
      <c r="F11" s="16"/>
      <c r="G11" s="16"/>
      <c r="H11" s="17" t="e">
        <f>SUM(B11:G11)</f>
        <v>#REF!</v>
      </c>
    </row>
    <row r="12" spans="1:9">
      <c r="A12" s="248" t="s">
        <v>826</v>
      </c>
      <c r="B12" s="19" t="e">
        <f>+'[6]Resource Alloc 16-17'!B12</f>
        <v>#REF!</v>
      </c>
      <c r="C12" s="19" t="e">
        <f>+'[6]Resource Alloc 16-17'!C12</f>
        <v>#REF!</v>
      </c>
      <c r="D12" s="19" t="e">
        <f>+'[6]Resource Alloc 16-17'!D12</f>
        <v>#REF!</v>
      </c>
      <c r="E12" s="20"/>
      <c r="F12" s="20"/>
      <c r="G12" s="20"/>
      <c r="H12" s="21" t="e">
        <f>SUM(B12:G12)</f>
        <v>#REF!</v>
      </c>
    </row>
    <row r="13" spans="1:9">
      <c r="A13" s="248" t="s">
        <v>23</v>
      </c>
      <c r="B13" s="19" t="e">
        <f>+'[6]Resource Alloc 16-17'!B13</f>
        <v>#REF!</v>
      </c>
      <c r="C13" s="19" t="e">
        <f>+'[6]Resource Alloc 16-17'!C13</f>
        <v>#REF!</v>
      </c>
      <c r="D13" s="19" t="e">
        <f>+'[6]Resource Alloc 16-17'!D13</f>
        <v>#REF!</v>
      </c>
      <c r="E13" s="20"/>
      <c r="F13" s="20"/>
      <c r="G13" s="20"/>
      <c r="H13" s="21" t="e">
        <f>SUM(B13:G13)</f>
        <v>#REF!</v>
      </c>
    </row>
    <row r="14" spans="1:9">
      <c r="A14" s="248" t="s">
        <v>240</v>
      </c>
      <c r="B14" s="19" t="e">
        <f>+'[6]Resource Alloc 16-17'!B14</f>
        <v>#REF!</v>
      </c>
      <c r="C14" s="19" t="e">
        <f>+'[6]Resource Alloc 16-17'!C14</f>
        <v>#REF!</v>
      </c>
      <c r="D14" s="19" t="e">
        <f>+'[6]Resource Alloc 16-17'!D14</f>
        <v>#REF!</v>
      </c>
      <c r="E14" s="20"/>
      <c r="F14" s="20"/>
      <c r="G14" s="20"/>
      <c r="H14" s="21" t="e">
        <f>SUM(B14:G14)</f>
        <v>#REF!</v>
      </c>
    </row>
    <row r="15" spans="1:9">
      <c r="A15" s="248" t="s">
        <v>288</v>
      </c>
      <c r="B15" s="19" t="e">
        <f>+'[6]Resource Alloc 16-17'!B15</f>
        <v>#REF!</v>
      </c>
      <c r="C15" s="19" t="e">
        <f>+'[6]Resource Alloc 16-17'!C15</f>
        <v>#REF!</v>
      </c>
      <c r="D15" s="19" t="e">
        <f>+'[6]Resource Alloc 16-17'!D15</f>
        <v>#REF!</v>
      </c>
      <c r="E15" s="20"/>
      <c r="F15" s="20"/>
      <c r="G15" s="20"/>
      <c r="H15" s="21" t="e">
        <f>SUM(B15:G15)</f>
        <v>#REF!</v>
      </c>
    </row>
    <row r="16" spans="1:9">
      <c r="A16" s="254" t="s">
        <v>888</v>
      </c>
      <c r="B16" s="22" t="e">
        <f>AVERAGE(B11:B15)</f>
        <v>#REF!</v>
      </c>
      <c r="C16" s="22" t="e">
        <f>AVERAGE(C11:C15)</f>
        <v>#REF!</v>
      </c>
      <c r="D16" s="22" t="e">
        <f>AVERAGE(D11:D15)</f>
        <v>#REF!</v>
      </c>
      <c r="E16" s="23"/>
      <c r="F16" s="23"/>
      <c r="G16" s="23"/>
      <c r="H16" s="24" t="e">
        <f>SUM(B16:D16)</f>
        <v>#REF!</v>
      </c>
      <c r="I16" s="4" t="s">
        <v>630</v>
      </c>
    </row>
    <row r="17" spans="1:10">
      <c r="A17" s="25" t="s">
        <v>631</v>
      </c>
      <c r="B17" s="65" t="e">
        <f>+B16/$H16</f>
        <v>#REF!</v>
      </c>
      <c r="C17" s="65" t="e">
        <f>+C16/$H16</f>
        <v>#REF!</v>
      </c>
      <c r="D17" s="65" t="e">
        <f>+D16/$H16</f>
        <v>#REF!</v>
      </c>
      <c r="E17" s="20"/>
      <c r="F17" s="20"/>
      <c r="G17" s="20"/>
      <c r="H17" s="19"/>
    </row>
    <row r="18" spans="1:10">
      <c r="A18" s="25"/>
      <c r="B18" s="26"/>
      <c r="C18" s="26"/>
      <c r="D18" s="26"/>
      <c r="E18" s="20"/>
      <c r="F18" s="20"/>
      <c r="G18" s="20"/>
      <c r="H18" s="19"/>
    </row>
    <row r="19" spans="1:10" s="4" customFormat="1">
      <c r="A19" s="25"/>
      <c r="B19" s="849"/>
      <c r="C19" s="849"/>
      <c r="D19" s="849"/>
      <c r="E19" s="849"/>
      <c r="F19" s="849"/>
      <c r="G19" s="849"/>
      <c r="H19" s="849"/>
      <c r="J19" s="849"/>
    </row>
    <row r="20" spans="1:10" s="4" customFormat="1">
      <c r="A20" s="30" t="s">
        <v>1109</v>
      </c>
      <c r="B20" s="849"/>
      <c r="C20" s="849"/>
      <c r="D20" s="849"/>
      <c r="E20" s="849"/>
      <c r="F20" s="849"/>
      <c r="G20" s="849"/>
      <c r="H20" s="849"/>
      <c r="J20" s="849"/>
    </row>
    <row r="21" spans="1:10" s="4" customFormat="1">
      <c r="A21" s="25" t="s">
        <v>638</v>
      </c>
      <c r="B21" s="29"/>
      <c r="C21" s="29"/>
      <c r="D21" s="29"/>
      <c r="E21" s="849"/>
      <c r="F21" s="849"/>
      <c r="G21" s="849"/>
      <c r="H21" s="28">
        <f>SUM(B21:G21)</f>
        <v>0</v>
      </c>
      <c r="J21" s="849"/>
    </row>
    <row r="22" spans="1:10" s="4" customFormat="1">
      <c r="A22" s="25"/>
      <c r="B22" s="29"/>
      <c r="C22" s="29"/>
      <c r="D22" s="29"/>
      <c r="E22" s="849"/>
      <c r="F22" s="849"/>
      <c r="G22" s="849"/>
      <c r="H22" s="28"/>
      <c r="J22" s="849"/>
    </row>
    <row r="24" spans="1:10" s="4" customFormat="1">
      <c r="A24" s="6" t="s">
        <v>639</v>
      </c>
      <c r="B24" s="849"/>
      <c r="C24" s="849"/>
      <c r="D24" s="849"/>
      <c r="E24" s="849"/>
      <c r="F24" s="849"/>
      <c r="G24" s="849"/>
      <c r="H24" s="849"/>
      <c r="J24" s="849"/>
    </row>
    <row r="25" spans="1:10" s="4" customFormat="1">
      <c r="A25" s="7" t="s">
        <v>1003</v>
      </c>
      <c r="B25" s="849"/>
      <c r="C25" s="849"/>
      <c r="D25" s="849"/>
      <c r="E25" s="849"/>
      <c r="F25" s="849"/>
      <c r="G25" s="849"/>
      <c r="H25" s="849"/>
      <c r="J25" s="849"/>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t="e">
        <f>+SUM('Rev-Exp Plan'!AB33:AB40,'Rev-Exp Plan'!AB43,'Rev-Exp Plan'!AB45:AB51)-SUM('Rev-Exp Plan'!AA33:AA40,'Rev-Exp Plan'!AA43,'Rev-Exp Plan'!AA45:AA51)-G52</f>
        <v>#REF!</v>
      </c>
      <c r="H27" s="32" t="e">
        <f>SUM(G27)</f>
        <v>#REF!</v>
      </c>
      <c r="I27" s="4" t="s">
        <v>641</v>
      </c>
    </row>
    <row r="28" spans="1:10">
      <c r="A28" s="16"/>
      <c r="G28" s="28"/>
      <c r="H28" s="29"/>
    </row>
    <row r="29" spans="1:10">
      <c r="A29" s="20"/>
      <c r="G29" s="29"/>
    </row>
    <row r="30" spans="1:10">
      <c r="A30" s="256" t="s">
        <v>1110</v>
      </c>
    </row>
    <row r="31" spans="1:10">
      <c r="A31" s="33" t="s">
        <v>1004</v>
      </c>
    </row>
    <row r="32" spans="1:10">
      <c r="A32" s="8"/>
      <c r="B32" s="9" t="s">
        <v>619</v>
      </c>
      <c r="C32" s="9" t="s">
        <v>620</v>
      </c>
      <c r="D32" s="9" t="s">
        <v>621</v>
      </c>
      <c r="E32" s="10" t="s">
        <v>622</v>
      </c>
      <c r="F32" s="10" t="s">
        <v>623</v>
      </c>
      <c r="G32" s="10" t="s">
        <v>624</v>
      </c>
      <c r="H32" s="11" t="s">
        <v>625</v>
      </c>
    </row>
    <row r="33" spans="1:10">
      <c r="A33" s="12"/>
      <c r="B33" s="22"/>
      <c r="C33" s="22"/>
      <c r="D33" s="22"/>
      <c r="E33" s="23"/>
      <c r="F33" s="335">
        <f>0</f>
        <v>0</v>
      </c>
      <c r="G33" s="23"/>
      <c r="H33" s="32">
        <f>SUM(F33:G33)</f>
        <v>0</v>
      </c>
      <c r="J33" s="71" t="s">
        <v>22</v>
      </c>
    </row>
    <row r="34" spans="1:10">
      <c r="A34" s="20"/>
      <c r="B34" s="19"/>
      <c r="C34" s="19"/>
      <c r="D34" s="19"/>
      <c r="F34" s="28"/>
      <c r="H34" s="29"/>
    </row>
    <row r="35" spans="1:10">
      <c r="A35" s="20"/>
      <c r="B35" s="19"/>
      <c r="C35" s="19"/>
      <c r="D35" s="19"/>
    </row>
    <row r="36" spans="1:10">
      <c r="A36" s="6" t="s">
        <v>642</v>
      </c>
    </row>
    <row r="37" spans="1:10">
      <c r="A37" s="7" t="s">
        <v>1005</v>
      </c>
      <c r="D37" s="7"/>
      <c r="J37" s="34"/>
    </row>
    <row r="38" spans="1:10">
      <c r="A38" s="8"/>
      <c r="B38" s="9" t="s">
        <v>619</v>
      </c>
      <c r="C38" s="9" t="s">
        <v>620</v>
      </c>
      <c r="D38" s="9" t="s">
        <v>621</v>
      </c>
      <c r="E38" s="10" t="s">
        <v>622</v>
      </c>
      <c r="F38" s="10" t="s">
        <v>623</v>
      </c>
      <c r="G38" s="10" t="s">
        <v>624</v>
      </c>
      <c r="H38" s="11" t="s">
        <v>625</v>
      </c>
    </row>
    <row r="39" spans="1:10">
      <c r="A39" s="248" t="s">
        <v>1006</v>
      </c>
      <c r="B39" s="19" t="e">
        <f>+'[6]Resource Alloc 16-17'!B$39</f>
        <v>#REF!</v>
      </c>
      <c r="C39" s="19" t="e">
        <f>+'[6]Resource Alloc 16-17'!C$39</f>
        <v>#REF!</v>
      </c>
      <c r="D39" s="19" t="e">
        <f>+'[6]Resource Alloc 16-17'!D$39</f>
        <v>#REF!</v>
      </c>
      <c r="E39" s="20"/>
      <c r="F39" s="20"/>
      <c r="G39" s="19"/>
      <c r="H39" s="35" t="e">
        <f>SUM(B39:G39)</f>
        <v>#REF!</v>
      </c>
    </row>
    <row r="40" spans="1:10">
      <c r="A40" s="248" t="s">
        <v>889</v>
      </c>
      <c r="B40" s="36" t="e">
        <f>AVERAGE(B39,B11,B12,B13,B14)</f>
        <v>#REF!</v>
      </c>
      <c r="C40" s="36" t="e">
        <f>AVERAGE(C39,C11,C12,C13,C14)</f>
        <v>#REF!</v>
      </c>
      <c r="D40" s="36" t="e">
        <f>AVERAGE(D39,D11,D12,D13,D14)</f>
        <v>#REF!</v>
      </c>
      <c r="E40" s="20"/>
      <c r="F40" s="20"/>
      <c r="G40" s="20">
        <f>+G39/3</f>
        <v>0</v>
      </c>
      <c r="H40" s="35" t="e">
        <f>SUM(B40:G40)</f>
        <v>#REF!</v>
      </c>
    </row>
    <row r="41" spans="1:10">
      <c r="A41" s="254" t="s">
        <v>890</v>
      </c>
      <c r="B41" s="37" t="e">
        <f>+B40-(B16)</f>
        <v>#REF!</v>
      </c>
      <c r="C41" s="37" t="e">
        <f>+C40-(C16)</f>
        <v>#REF!</v>
      </c>
      <c r="D41" s="37" t="e">
        <f>+D40-(D16)</f>
        <v>#REF!</v>
      </c>
      <c r="E41" s="23"/>
      <c r="F41" s="23"/>
      <c r="G41" s="23">
        <f>+G40</f>
        <v>0</v>
      </c>
      <c r="H41" s="38" t="e">
        <f>SUM(B41:G41)</f>
        <v>#REF!</v>
      </c>
      <c r="J41" s="39"/>
    </row>
    <row r="42" spans="1:10">
      <c r="A42" s="7" t="s">
        <v>1105</v>
      </c>
    </row>
    <row r="43" spans="1:10">
      <c r="A43" s="7"/>
      <c r="H43" s="488" t="e">
        <f>+ROUND((4366*H41-F33)/(1+C118+C117)/H41,)</f>
        <v>#REF!</v>
      </c>
    </row>
    <row r="44" spans="1:10">
      <c r="A44" s="8" t="s">
        <v>646</v>
      </c>
      <c r="B44" s="40"/>
      <c r="C44" s="40"/>
      <c r="D44" s="40"/>
      <c r="E44" s="16"/>
      <c r="F44" s="16"/>
      <c r="G44" s="40">
        <f>3600*G41</f>
        <v>0</v>
      </c>
      <c r="H44" s="41">
        <f>SUM(B44:G44)</f>
        <v>0</v>
      </c>
      <c r="J44" s="849">
        <f>'Resource Alloc 15-16'!J53*(1+Assumptions!I123)</f>
        <v>3859.5466833599999</v>
      </c>
    </row>
    <row r="45" spans="1:10">
      <c r="A45" s="254" t="s">
        <v>914</v>
      </c>
      <c r="B45" s="31">
        <f>+'[7]16-17 (2)'!$D$7-'[7]15-16'!$D$13</f>
        <v>514076.30415973382</v>
      </c>
      <c r="C45" s="31">
        <f>+'[7]16-17 (2)'!$B$7-'[7]15-16'!$B$13</f>
        <v>442750.57454242936</v>
      </c>
      <c r="D45" s="31">
        <f>+'[7]16-17 (2)'!$C$7-'[7]15-16'!$C$13</f>
        <v>1936437.0212978371</v>
      </c>
      <c r="E45" s="23"/>
      <c r="F45" s="23"/>
      <c r="G45" s="31"/>
      <c r="H45" s="32">
        <f>SUM(B45:G45)</f>
        <v>2893263.9000000004</v>
      </c>
    </row>
    <row r="46" spans="1:10">
      <c r="A46" s="254" t="s">
        <v>625</v>
      </c>
      <c r="B46" s="31">
        <f>SUM(B44:B45)</f>
        <v>514076.30415973382</v>
      </c>
      <c r="C46" s="31">
        <f>SUM(C44:C45)</f>
        <v>442750.57454242936</v>
      </c>
      <c r="D46" s="31">
        <f>SUM(D44:D45)</f>
        <v>1936437.0212978371</v>
      </c>
      <c r="E46" s="23"/>
      <c r="F46" s="23"/>
      <c r="G46" s="23"/>
      <c r="H46" s="32">
        <f>SUM(B46:G46)</f>
        <v>2893263.9000000004</v>
      </c>
      <c r="I46" s="4" t="s">
        <v>647</v>
      </c>
    </row>
    <row r="48" spans="1:10">
      <c r="A48" s="256" t="s">
        <v>891</v>
      </c>
      <c r="H48" s="42"/>
    </row>
    <row r="49" spans="1:10">
      <c r="A49" s="43" t="s">
        <v>1007</v>
      </c>
    </row>
    <row r="50" spans="1:10">
      <c r="A50" s="8"/>
      <c r="B50" s="44" t="s">
        <v>619</v>
      </c>
      <c r="C50" s="44" t="s">
        <v>620</v>
      </c>
      <c r="D50" s="44" t="s">
        <v>621</v>
      </c>
      <c r="E50" s="45" t="s">
        <v>622</v>
      </c>
      <c r="F50" s="45" t="s">
        <v>623</v>
      </c>
      <c r="G50" s="45" t="s">
        <v>624</v>
      </c>
      <c r="H50" s="46" t="s">
        <v>625</v>
      </c>
    </row>
    <row r="51" spans="1:10">
      <c r="A51" s="18" t="s">
        <v>646</v>
      </c>
      <c r="B51" s="20"/>
      <c r="C51" s="20"/>
      <c r="D51" s="20"/>
      <c r="E51" s="13" t="e">
        <f>C118*H44</f>
        <v>#REF!</v>
      </c>
      <c r="F51" s="13" t="e">
        <f>C117*H44</f>
        <v>#REF!</v>
      </c>
      <c r="G51" s="20"/>
      <c r="H51" s="49" t="e">
        <f>SUM(E51:G51)</f>
        <v>#REF!</v>
      </c>
      <c r="I51" s="4" t="s">
        <v>648</v>
      </c>
    </row>
    <row r="52" spans="1:10">
      <c r="A52" s="254" t="s">
        <v>914</v>
      </c>
      <c r="B52" s="23"/>
      <c r="C52" s="23"/>
      <c r="D52" s="23"/>
      <c r="E52" s="31">
        <f>+'[7]16-17 (2)'!$E$7-'[7]15-16'!$E$13</f>
        <v>630962.07999999996</v>
      </c>
      <c r="F52" s="31"/>
      <c r="G52" s="31" t="e">
        <f>'[7]16-17 (2)'!$F$7-(+'Resource Alloc 15-16'!G62+'Resource Alloc 14-15'!G61+'Resource Alloc 13-14'!G62+'Resource Alloc 12-13'!G60)</f>
        <v>#REF!</v>
      </c>
      <c r="H52" s="32" t="e">
        <f>SUM(B52:G52)</f>
        <v>#REF!</v>
      </c>
      <c r="J52" s="29" t="e">
        <f>+H46+H53</f>
        <v>#REF!</v>
      </c>
    </row>
    <row r="53" spans="1:10">
      <c r="A53" s="254" t="s">
        <v>625</v>
      </c>
      <c r="B53" s="31">
        <f t="shared" ref="B53:G53" si="0">SUM(B51:B52)</f>
        <v>0</v>
      </c>
      <c r="C53" s="31">
        <f t="shared" si="0"/>
        <v>0</v>
      </c>
      <c r="D53" s="31">
        <f t="shared" si="0"/>
        <v>0</v>
      </c>
      <c r="E53" s="63" t="e">
        <f t="shared" si="0"/>
        <v>#REF!</v>
      </c>
      <c r="F53" s="63" t="e">
        <f t="shared" si="0"/>
        <v>#REF!</v>
      </c>
      <c r="G53" s="63" t="e">
        <f t="shared" si="0"/>
        <v>#REF!</v>
      </c>
      <c r="H53" s="32" t="e">
        <f>SUM(B53:G53)</f>
        <v>#REF!</v>
      </c>
      <c r="J53" s="29"/>
    </row>
    <row r="54" spans="1:10">
      <c r="E54" s="28"/>
      <c r="F54" s="28"/>
      <c r="H54" s="29"/>
    </row>
    <row r="56" spans="1:10">
      <c r="A56" s="6" t="s">
        <v>649</v>
      </c>
    </row>
    <row r="57" spans="1:10">
      <c r="A57" s="7" t="s">
        <v>1191</v>
      </c>
    </row>
    <row r="58" spans="1:10">
      <c r="A58" s="8"/>
      <c r="B58" s="44" t="s">
        <v>619</v>
      </c>
      <c r="C58" s="44" t="s">
        <v>620</v>
      </c>
      <c r="D58" s="44" t="s">
        <v>621</v>
      </c>
      <c r="E58" s="45" t="s">
        <v>622</v>
      </c>
      <c r="F58" s="45" t="s">
        <v>623</v>
      </c>
      <c r="G58" s="45" t="s">
        <v>624</v>
      </c>
      <c r="H58" s="46" t="s">
        <v>625</v>
      </c>
    </row>
    <row r="59" spans="1:10">
      <c r="A59" s="47" t="s">
        <v>650</v>
      </c>
      <c r="B59" s="13" t="e">
        <f>+'[8]16-17 Adjust Alloc incl benes'!$D$21</f>
        <v>#REF!</v>
      </c>
      <c r="C59" s="13" t="e">
        <f>+'[8]16-17 Adjust Alloc incl benes'!$B$21</f>
        <v>#REF!</v>
      </c>
      <c r="D59" s="13" t="e">
        <f>+'[8]16-17 Adjust Alloc incl benes'!$C$21</f>
        <v>#REF!</v>
      </c>
      <c r="E59" s="13" t="e">
        <f>+'[8]16-17 Adjust Alloc incl benes'!$E$21</f>
        <v>#REF!</v>
      </c>
      <c r="F59" s="13" t="e">
        <f>+'[8]16-17 Adjust Alloc incl benes'!$F$21</f>
        <v>#REF!</v>
      </c>
      <c r="G59" s="13"/>
      <c r="H59" s="14" t="e">
        <f>SUM(B59:G59)</f>
        <v>#REF!</v>
      </c>
      <c r="I59" s="4" t="s">
        <v>651</v>
      </c>
    </row>
    <row r="60" spans="1:10">
      <c r="A60" s="47" t="s">
        <v>476</v>
      </c>
      <c r="B60" s="13"/>
      <c r="C60" s="13"/>
      <c r="D60" s="13"/>
      <c r="E60" s="13"/>
      <c r="F60" s="13"/>
      <c r="G60" s="13" t="e">
        <f>+'Rev-Exp Plan'!AB41-'Rev-Exp Plan'!AA41-SUM(B60:F60,B59:G59)</f>
        <v>#REF!</v>
      </c>
      <c r="H60" s="14" t="e">
        <f>SUM(B60:G60)</f>
        <v>#REF!</v>
      </c>
    </row>
    <row r="61" spans="1:10" s="920" customFormat="1">
      <c r="A61" s="1002" t="s">
        <v>1115</v>
      </c>
      <c r="B61" s="125">
        <f>CPI!B19</f>
        <v>40924.309000000001</v>
      </c>
      <c r="C61" s="125">
        <f>CPI!C19</f>
        <v>20951.66</v>
      </c>
      <c r="D61" s="125">
        <f>CPI!D19</f>
        <v>34200.470999999998</v>
      </c>
      <c r="E61" s="125">
        <f>CPI!E19</f>
        <v>59619.758000000002</v>
      </c>
      <c r="F61" s="125">
        <f>CPI!F19</f>
        <v>35455.103000000003</v>
      </c>
      <c r="G61" s="13"/>
      <c r="H61" s="14">
        <f>SUM(B61:G61)</f>
        <v>191151.30100000001</v>
      </c>
      <c r="I61" s="4"/>
    </row>
    <row r="62" spans="1:10" s="1023" customFormat="1">
      <c r="A62" s="1002" t="s">
        <v>166</v>
      </c>
      <c r="B62" s="125" t="e">
        <f>25000+[9]Sheet1!$B$39</f>
        <v>#REF!</v>
      </c>
      <c r="C62" s="125" t="e">
        <f>25000+[9]Sheet1!$C$39</f>
        <v>#REF!</v>
      </c>
      <c r="D62" s="125" t="e">
        <f>+[9]Sheet1!$D$39</f>
        <v>#REF!</v>
      </c>
      <c r="E62" s="125" t="e">
        <f>+[9]Sheet1!$E$39</f>
        <v>#REF!</v>
      </c>
      <c r="F62" s="125" t="e">
        <f>+[9]Sheet1!$F$39</f>
        <v>#REF!</v>
      </c>
      <c r="G62" s="13">
        <f>94000-50000</f>
        <v>44000</v>
      </c>
      <c r="H62" s="14" t="e">
        <f>SUM(B62:G62)</f>
        <v>#REF!</v>
      </c>
      <c r="I62" s="4"/>
    </row>
    <row r="63" spans="1:10">
      <c r="A63" s="47" t="s">
        <v>1120</v>
      </c>
      <c r="B63" s="13">
        <f>600000+200000+600000</f>
        <v>1400000</v>
      </c>
      <c r="C63" s="13">
        <f>200000+600000</f>
        <v>800000</v>
      </c>
      <c r="D63" s="13">
        <f>150000+350000+600000</f>
        <v>1100000</v>
      </c>
      <c r="E63" s="13">
        <v>200000</v>
      </c>
      <c r="F63" s="13">
        <v>0</v>
      </c>
      <c r="G63" s="125">
        <f>2000000-SUM(B63:F63)</f>
        <v>-1500000</v>
      </c>
      <c r="H63" s="14">
        <f>SUM(B63:G63)</f>
        <v>2000000</v>
      </c>
    </row>
    <row r="64" spans="1:10">
      <c r="A64" s="50"/>
      <c r="B64" s="52" t="e">
        <f>SUM(B59:B63)</f>
        <v>#REF!</v>
      </c>
      <c r="C64" s="52" t="e">
        <f t="shared" ref="C64:G64" si="1">SUM(C59:C63)</f>
        <v>#REF!</v>
      </c>
      <c r="D64" s="52" t="e">
        <f t="shared" si="1"/>
        <v>#REF!</v>
      </c>
      <c r="E64" s="52" t="e">
        <f t="shared" si="1"/>
        <v>#REF!</v>
      </c>
      <c r="F64" s="52" t="e">
        <f t="shared" si="1"/>
        <v>#REF!</v>
      </c>
      <c r="G64" s="52" t="e">
        <f t="shared" si="1"/>
        <v>#REF!</v>
      </c>
      <c r="H64" s="52" t="e">
        <f>SUM(H59:H63)</f>
        <v>#REF!</v>
      </c>
    </row>
    <row r="65" spans="1:10">
      <c r="A65" s="54"/>
    </row>
    <row r="66" spans="1:10">
      <c r="H66" s="29" t="e">
        <f>H64-H63</f>
        <v>#REF!</v>
      </c>
    </row>
    <row r="67" spans="1:10">
      <c r="A67" s="6" t="s">
        <v>653</v>
      </c>
      <c r="H67" s="29" t="e">
        <f>H66-H62</f>
        <v>#REF!</v>
      </c>
    </row>
    <row r="68" spans="1:10">
      <c r="A68" s="7" t="s">
        <v>274</v>
      </c>
    </row>
    <row r="69" spans="1:10">
      <c r="A69" s="7" t="s">
        <v>654</v>
      </c>
    </row>
    <row r="70" spans="1:10">
      <c r="A70" s="849" t="s">
        <v>655</v>
      </c>
      <c r="B70" s="29" t="e">
        <f>+H9</f>
        <v>#REF!</v>
      </c>
      <c r="D70" s="71" t="s">
        <v>934</v>
      </c>
      <c r="E70" s="55">
        <f>+Revenues!F129</f>
        <v>18625.39383296431</v>
      </c>
      <c r="F70" s="849" t="s">
        <v>656</v>
      </c>
    </row>
    <row r="71" spans="1:10">
      <c r="A71" s="71" t="s">
        <v>1111</v>
      </c>
      <c r="B71" s="28">
        <f>+'SB361'!N62-'SB361'!M62</f>
        <v>8457912.9899999797</v>
      </c>
      <c r="D71" s="71" t="s">
        <v>1006</v>
      </c>
      <c r="E71" s="39">
        <f>+Revenues!F139</f>
        <v>18144.006971499886</v>
      </c>
      <c r="F71" s="849" t="s">
        <v>657</v>
      </c>
    </row>
    <row r="72" spans="1:10">
      <c r="A72" s="71" t="s">
        <v>1112</v>
      </c>
      <c r="B72" s="28">
        <f>+'SB361'!N63+'SB361'!N64-'SB361'!M63-'SB361'!M64</f>
        <v>-243437.89000000246</v>
      </c>
      <c r="D72" s="849" t="s">
        <v>658</v>
      </c>
      <c r="E72" s="39">
        <f>MAX(E71-E70,0)</f>
        <v>0</v>
      </c>
    </row>
    <row r="73" spans="1:10">
      <c r="A73" s="849" t="s">
        <v>659</v>
      </c>
      <c r="B73" s="28" t="e">
        <f>+'Rev-Exp Plan'!AB25-SUM('Resource Alloc 16-17'!B70:B72)</f>
        <v>#REF!</v>
      </c>
      <c r="D73" s="54" t="s">
        <v>478</v>
      </c>
      <c r="E73" s="56"/>
      <c r="F73" s="181"/>
      <c r="I73" s="4" t="s">
        <v>641</v>
      </c>
    </row>
    <row r="74" spans="1:10">
      <c r="A74" s="71" t="s">
        <v>1008</v>
      </c>
      <c r="B74" s="57" t="e">
        <f>SUM(B70:B73)</f>
        <v>#REF!</v>
      </c>
      <c r="D74" s="71" t="s">
        <v>344</v>
      </c>
      <c r="E74" s="55">
        <v>0</v>
      </c>
    </row>
    <row r="75" spans="1:10">
      <c r="A75" s="849" t="s">
        <v>660</v>
      </c>
      <c r="B75" s="29" t="e">
        <f>+B74-B70</f>
        <v>#REF!</v>
      </c>
    </row>
    <row r="76" spans="1:10">
      <c r="A76" s="71" t="s">
        <v>880</v>
      </c>
      <c r="B76" s="29" t="e">
        <f>+B75-E73-E74</f>
        <v>#REF!</v>
      </c>
      <c r="C76" s="243"/>
    </row>
    <row r="77" spans="1:10">
      <c r="A77" s="849" t="s">
        <v>661</v>
      </c>
      <c r="C77" s="29"/>
    </row>
    <row r="78" spans="1:10">
      <c r="A78" s="849" t="s">
        <v>662</v>
      </c>
      <c r="B78" s="29">
        <f>+H21</f>
        <v>0</v>
      </c>
    </row>
    <row r="79" spans="1:10">
      <c r="A79" s="849" t="s">
        <v>663</v>
      </c>
      <c r="B79" s="29" t="e">
        <f>+H27</f>
        <v>#REF!</v>
      </c>
    </row>
    <row r="80" spans="1:10" s="4" customFormat="1">
      <c r="A80" s="849" t="s">
        <v>664</v>
      </c>
      <c r="B80" s="29">
        <f>+H33</f>
        <v>0</v>
      </c>
      <c r="C80" s="849"/>
      <c r="D80" s="849"/>
      <c r="E80" s="849"/>
      <c r="F80" s="849"/>
      <c r="G80" s="849"/>
      <c r="H80" s="849"/>
      <c r="J80" s="849"/>
    </row>
    <row r="81" spans="1:10" s="4" customFormat="1">
      <c r="A81" s="849" t="s">
        <v>665</v>
      </c>
      <c r="B81" s="29">
        <f>+H46</f>
        <v>2893263.9000000004</v>
      </c>
      <c r="C81" s="849"/>
      <c r="D81" s="849"/>
      <c r="E81" s="849"/>
      <c r="F81" s="849"/>
      <c r="G81" s="849"/>
      <c r="H81" s="849"/>
      <c r="J81" s="849"/>
    </row>
    <row r="82" spans="1:10" s="4" customFormat="1">
      <c r="A82" s="849" t="s">
        <v>666</v>
      </c>
      <c r="B82" s="29" t="e">
        <f>+H53</f>
        <v>#REF!</v>
      </c>
      <c r="C82" s="849"/>
      <c r="D82" s="849"/>
      <c r="E82" s="849"/>
      <c r="F82" s="849"/>
      <c r="G82" s="849"/>
      <c r="H82" s="849"/>
      <c r="J82" s="849"/>
    </row>
    <row r="83" spans="1:10" s="4" customFormat="1">
      <c r="A83" s="849" t="s">
        <v>667</v>
      </c>
      <c r="B83" s="29" t="e">
        <f>+H64</f>
        <v>#REF!</v>
      </c>
      <c r="C83" s="849"/>
      <c r="D83" s="849"/>
      <c r="E83" s="849"/>
      <c r="F83" s="849"/>
      <c r="G83" s="849"/>
      <c r="H83" s="849"/>
      <c r="J83" s="849"/>
    </row>
    <row r="84" spans="1:10" s="4" customFormat="1">
      <c r="A84" s="849"/>
      <c r="B84" s="57" t="e">
        <f>SUM(B78:B83)</f>
        <v>#REF!</v>
      </c>
      <c r="C84" s="849"/>
      <c r="D84" s="849"/>
      <c r="E84" s="849"/>
      <c r="F84" s="849"/>
      <c r="G84" s="849"/>
      <c r="H84" s="849"/>
      <c r="J84" s="849"/>
    </row>
    <row r="85" spans="1:10" s="4" customFormat="1">
      <c r="A85" s="849" t="s">
        <v>668</v>
      </c>
      <c r="B85" s="29" t="e">
        <f>+B76-B84</f>
        <v>#REF!</v>
      </c>
      <c r="C85" s="849"/>
      <c r="D85" s="849"/>
      <c r="E85" s="849"/>
      <c r="F85" s="849"/>
      <c r="G85" s="849"/>
      <c r="H85" s="849"/>
      <c r="J85" s="849"/>
    </row>
    <row r="86" spans="1:10" s="4" customFormat="1">
      <c r="A86" s="849"/>
      <c r="B86" s="29"/>
      <c r="C86" s="849"/>
      <c r="D86" s="849"/>
      <c r="E86" s="849"/>
      <c r="F86" s="849"/>
      <c r="G86" s="849"/>
      <c r="H86" s="849"/>
      <c r="J86" s="849"/>
    </row>
    <row r="87" spans="1:10" s="4" customFormat="1">
      <c r="A87" s="8"/>
      <c r="B87" s="9" t="s">
        <v>619</v>
      </c>
      <c r="C87" s="9" t="s">
        <v>620</v>
      </c>
      <c r="D87" s="9" t="s">
        <v>621</v>
      </c>
      <c r="E87" s="10" t="s">
        <v>622</v>
      </c>
      <c r="F87" s="10" t="s">
        <v>623</v>
      </c>
      <c r="G87" s="10" t="s">
        <v>624</v>
      </c>
      <c r="H87" s="11" t="s">
        <v>625</v>
      </c>
      <c r="J87" s="849"/>
    </row>
    <row r="88" spans="1:10" s="4" customFormat="1">
      <c r="A88" s="248" t="s">
        <v>938</v>
      </c>
      <c r="B88" s="58" t="e">
        <f>+B9</f>
        <v>#REF!</v>
      </c>
      <c r="C88" s="58" t="e">
        <f>+C9</f>
        <v>#REF!</v>
      </c>
      <c r="D88" s="58" t="e">
        <f>+D9</f>
        <v>#REF!</v>
      </c>
      <c r="E88" s="58" t="e">
        <f>+E9</f>
        <v>#REF!</v>
      </c>
      <c r="F88" s="58" t="e">
        <f>+F9</f>
        <v>#REF!</v>
      </c>
      <c r="G88" s="59" t="s">
        <v>669</v>
      </c>
      <c r="H88" s="49" t="e">
        <f>SUM(B88:G88)</f>
        <v>#REF!</v>
      </c>
      <c r="J88" s="849"/>
    </row>
    <row r="89" spans="1:10" s="4" customFormat="1">
      <c r="A89" s="60" t="s">
        <v>670</v>
      </c>
      <c r="B89" s="26" t="e">
        <f>+B88/$H88</f>
        <v>#REF!</v>
      </c>
      <c r="C89" s="65" t="e">
        <f>+C88/$H88</f>
        <v>#REF!</v>
      </c>
      <c r="D89" s="26" t="e">
        <f>+D88/$H88</f>
        <v>#REF!</v>
      </c>
      <c r="E89" s="26" t="e">
        <f>+E88/$H88</f>
        <v>#REF!</v>
      </c>
      <c r="F89" s="26" t="e">
        <f>+F88/$H88</f>
        <v>#REF!</v>
      </c>
      <c r="G89" s="26"/>
      <c r="H89" s="851" t="e">
        <f>SUM(B89:G89)</f>
        <v>#REF!</v>
      </c>
      <c r="J89" s="849"/>
    </row>
    <row r="90" spans="1:10" s="4" customFormat="1">
      <c r="A90" s="62" t="s">
        <v>671</v>
      </c>
      <c r="B90" s="31" t="e">
        <f t="shared" ref="B90:G90" si="2">+B89*$B85</f>
        <v>#REF!</v>
      </c>
      <c r="C90" s="31" t="e">
        <f t="shared" si="2"/>
        <v>#REF!</v>
      </c>
      <c r="D90" s="31" t="e">
        <f t="shared" si="2"/>
        <v>#REF!</v>
      </c>
      <c r="E90" s="31" t="e">
        <f t="shared" si="2"/>
        <v>#REF!</v>
      </c>
      <c r="F90" s="31" t="e">
        <f t="shared" si="2"/>
        <v>#REF!</v>
      </c>
      <c r="G90" s="31" t="e">
        <f t="shared" si="2"/>
        <v>#REF!</v>
      </c>
      <c r="H90" s="32" t="e">
        <f>SUM(B90:G90)</f>
        <v>#REF!</v>
      </c>
      <c r="J90" s="849"/>
    </row>
    <row r="91" spans="1:10" s="4" customFormat="1">
      <c r="A91" s="25"/>
      <c r="B91" s="28"/>
      <c r="C91" s="28"/>
      <c r="D91" s="28"/>
      <c r="E91" s="28"/>
      <c r="F91" s="28"/>
      <c r="G91" s="28"/>
      <c r="H91" s="29"/>
      <c r="J91" s="849"/>
    </row>
    <row r="93" spans="1:10" s="4" customFormat="1">
      <c r="A93" s="849" t="s">
        <v>672</v>
      </c>
      <c r="B93" s="849"/>
      <c r="C93" s="849"/>
      <c r="D93" s="849"/>
      <c r="E93" s="849"/>
      <c r="F93" s="849"/>
      <c r="G93" s="849"/>
      <c r="H93" s="849"/>
      <c r="J93" s="849"/>
    </row>
    <row r="94" spans="1:10" s="4" customFormat="1">
      <c r="A94" s="7" t="s">
        <v>1009</v>
      </c>
      <c r="B94" s="849"/>
      <c r="C94" s="849"/>
      <c r="D94" s="849"/>
      <c r="E94" s="849"/>
      <c r="F94" s="849"/>
      <c r="G94" s="849"/>
      <c r="H94" s="849"/>
      <c r="J94" s="849"/>
    </row>
    <row r="95" spans="1:10" s="4" customFormat="1">
      <c r="A95" s="8"/>
      <c r="B95" s="9" t="s">
        <v>619</v>
      </c>
      <c r="C95" s="9" t="s">
        <v>620</v>
      </c>
      <c r="D95" s="9" t="s">
        <v>621</v>
      </c>
      <c r="E95" s="10" t="s">
        <v>622</v>
      </c>
      <c r="F95" s="10" t="s">
        <v>623</v>
      </c>
      <c r="G95" s="10" t="s">
        <v>624</v>
      </c>
      <c r="H95" s="11" t="s">
        <v>625</v>
      </c>
      <c r="J95" s="849"/>
    </row>
    <row r="96" spans="1:10" s="4" customFormat="1">
      <c r="A96" s="248" t="s">
        <v>938</v>
      </c>
      <c r="B96" s="13" t="e">
        <f t="shared" ref="B96:G96" si="3">+B9</f>
        <v>#REF!</v>
      </c>
      <c r="C96" s="13" t="e">
        <f t="shared" si="3"/>
        <v>#REF!</v>
      </c>
      <c r="D96" s="13" t="e">
        <f t="shared" si="3"/>
        <v>#REF!</v>
      </c>
      <c r="E96" s="13" t="e">
        <f t="shared" si="3"/>
        <v>#REF!</v>
      </c>
      <c r="F96" s="13" t="e">
        <f t="shared" si="3"/>
        <v>#REF!</v>
      </c>
      <c r="G96" s="13" t="e">
        <f t="shared" si="3"/>
        <v>#REF!</v>
      </c>
      <c r="H96" s="14" t="e">
        <f t="shared" ref="H96:H103" si="4">SUM(B96:G96)</f>
        <v>#REF!</v>
      </c>
      <c r="J96" s="849"/>
    </row>
    <row r="97" spans="1:10" s="4" customFormat="1">
      <c r="A97" s="18" t="s">
        <v>662</v>
      </c>
      <c r="B97" s="58">
        <f t="shared" ref="B97:G97" si="5">+B21</f>
        <v>0</v>
      </c>
      <c r="C97" s="58">
        <f t="shared" si="5"/>
        <v>0</v>
      </c>
      <c r="D97" s="58">
        <f t="shared" si="5"/>
        <v>0</v>
      </c>
      <c r="E97" s="58">
        <f t="shared" si="5"/>
        <v>0</v>
      </c>
      <c r="F97" s="58">
        <f t="shared" si="5"/>
        <v>0</v>
      </c>
      <c r="G97" s="58">
        <f t="shared" si="5"/>
        <v>0</v>
      </c>
      <c r="H97" s="49">
        <f t="shared" si="4"/>
        <v>0</v>
      </c>
      <c r="J97" s="849"/>
    </row>
    <row r="98" spans="1:10" s="4" customFormat="1">
      <c r="A98" s="18" t="s">
        <v>673</v>
      </c>
      <c r="B98" s="13">
        <f t="shared" ref="B98:G98" si="6">+B27</f>
        <v>0</v>
      </c>
      <c r="C98" s="13">
        <f t="shared" si="6"/>
        <v>0</v>
      </c>
      <c r="D98" s="13">
        <f t="shared" si="6"/>
        <v>0</v>
      </c>
      <c r="E98" s="13">
        <f t="shared" si="6"/>
        <v>0</v>
      </c>
      <c r="F98" s="13">
        <f t="shared" si="6"/>
        <v>0</v>
      </c>
      <c r="G98" s="13" t="e">
        <f t="shared" si="6"/>
        <v>#REF!</v>
      </c>
      <c r="H98" s="49" t="e">
        <f t="shared" si="4"/>
        <v>#REF!</v>
      </c>
      <c r="J98" s="849"/>
    </row>
    <row r="99" spans="1:10" s="4" customFormat="1">
      <c r="A99" s="18" t="s">
        <v>664</v>
      </c>
      <c r="B99" s="13">
        <f t="shared" ref="B99:G99" si="7">+B33</f>
        <v>0</v>
      </c>
      <c r="C99" s="13">
        <f t="shared" si="7"/>
        <v>0</v>
      </c>
      <c r="D99" s="13">
        <f t="shared" si="7"/>
        <v>0</v>
      </c>
      <c r="E99" s="13">
        <f t="shared" si="7"/>
        <v>0</v>
      </c>
      <c r="F99" s="13">
        <f t="shared" si="7"/>
        <v>0</v>
      </c>
      <c r="G99" s="13">
        <f t="shared" si="7"/>
        <v>0</v>
      </c>
      <c r="H99" s="49">
        <f t="shared" si="4"/>
        <v>0</v>
      </c>
      <c r="J99" s="849"/>
    </row>
    <row r="100" spans="1:10" s="4" customFormat="1">
      <c r="A100" s="18" t="s">
        <v>665</v>
      </c>
      <c r="B100" s="58">
        <f>+B46</f>
        <v>514076.30415973382</v>
      </c>
      <c r="C100" s="58">
        <f>+C46</f>
        <v>442750.57454242936</v>
      </c>
      <c r="D100" s="58">
        <f>+D46</f>
        <v>1936437.0212978371</v>
      </c>
      <c r="E100" s="58">
        <f>+E44</f>
        <v>0</v>
      </c>
      <c r="F100" s="58">
        <f>+F44</f>
        <v>0</v>
      </c>
      <c r="G100" s="58">
        <f>+G44</f>
        <v>0</v>
      </c>
      <c r="H100" s="49">
        <f t="shared" si="4"/>
        <v>2893263.9000000004</v>
      </c>
      <c r="J100" s="29"/>
    </row>
    <row r="101" spans="1:10" s="4" customFormat="1">
      <c r="A101" s="18" t="s">
        <v>666</v>
      </c>
      <c r="B101" s="13">
        <f>+B51</f>
        <v>0</v>
      </c>
      <c r="C101" s="13">
        <f>+C51</f>
        <v>0</v>
      </c>
      <c r="D101" s="13">
        <f>+D51</f>
        <v>0</v>
      </c>
      <c r="E101" s="13" t="e">
        <f>+E53</f>
        <v>#REF!</v>
      </c>
      <c r="F101" s="13" t="e">
        <f>+F53</f>
        <v>#REF!</v>
      </c>
      <c r="G101" s="13" t="e">
        <f>+G53</f>
        <v>#REF!</v>
      </c>
      <c r="H101" s="49" t="e">
        <f t="shared" si="4"/>
        <v>#REF!</v>
      </c>
      <c r="J101" s="849"/>
    </row>
    <row r="102" spans="1:10" s="4" customFormat="1">
      <c r="A102" s="18" t="s">
        <v>667</v>
      </c>
      <c r="B102" s="13" t="e">
        <f t="shared" ref="B102:G102" si="8">+B64</f>
        <v>#REF!</v>
      </c>
      <c r="C102" s="13" t="e">
        <f t="shared" si="8"/>
        <v>#REF!</v>
      </c>
      <c r="D102" s="13" t="e">
        <f t="shared" si="8"/>
        <v>#REF!</v>
      </c>
      <c r="E102" s="13" t="e">
        <f t="shared" si="8"/>
        <v>#REF!</v>
      </c>
      <c r="F102" s="13" t="e">
        <f t="shared" si="8"/>
        <v>#REF!</v>
      </c>
      <c r="G102" s="13" t="e">
        <f t="shared" si="8"/>
        <v>#REF!</v>
      </c>
      <c r="H102" s="49" t="e">
        <f t="shared" si="4"/>
        <v>#REF!</v>
      </c>
      <c r="J102" s="849"/>
    </row>
    <row r="103" spans="1:10" s="4" customFormat="1">
      <c r="A103" s="18" t="s">
        <v>674</v>
      </c>
      <c r="B103" s="63" t="e">
        <f t="shared" ref="B103:G103" si="9">+B90</f>
        <v>#REF!</v>
      </c>
      <c r="C103" s="63" t="e">
        <f t="shared" si="9"/>
        <v>#REF!</v>
      </c>
      <c r="D103" s="63" t="e">
        <f t="shared" si="9"/>
        <v>#REF!</v>
      </c>
      <c r="E103" s="63" t="e">
        <f t="shared" si="9"/>
        <v>#REF!</v>
      </c>
      <c r="F103" s="63" t="e">
        <f t="shared" si="9"/>
        <v>#REF!</v>
      </c>
      <c r="G103" s="63" t="e">
        <f t="shared" si="9"/>
        <v>#REF!</v>
      </c>
      <c r="H103" s="32" t="e">
        <f t="shared" si="4"/>
        <v>#REF!</v>
      </c>
      <c r="J103" s="849"/>
    </row>
    <row r="104" spans="1:10" s="4" customFormat="1">
      <c r="A104" s="18" t="s">
        <v>675</v>
      </c>
      <c r="B104" s="63" t="e">
        <f t="shared" ref="B104:H104" si="10">SUM(B97:B103)</f>
        <v>#REF!</v>
      </c>
      <c r="C104" s="63" t="e">
        <f t="shared" si="10"/>
        <v>#REF!</v>
      </c>
      <c r="D104" s="63" t="e">
        <f t="shared" si="10"/>
        <v>#REF!</v>
      </c>
      <c r="E104" s="63" t="e">
        <f t="shared" si="10"/>
        <v>#REF!</v>
      </c>
      <c r="F104" s="63" t="e">
        <f t="shared" si="10"/>
        <v>#REF!</v>
      </c>
      <c r="G104" s="63" t="e">
        <f t="shared" si="10"/>
        <v>#REF!</v>
      </c>
      <c r="H104" s="32" t="e">
        <f t="shared" si="10"/>
        <v>#REF!</v>
      </c>
      <c r="J104" s="849"/>
    </row>
    <row r="105" spans="1:10" s="4" customFormat="1">
      <c r="A105" s="8"/>
      <c r="B105" s="9" t="s">
        <v>619</v>
      </c>
      <c r="C105" s="9" t="s">
        <v>620</v>
      </c>
      <c r="D105" s="9" t="s">
        <v>621</v>
      </c>
      <c r="E105" s="10" t="s">
        <v>622</v>
      </c>
      <c r="F105" s="10" t="s">
        <v>623</v>
      </c>
      <c r="G105" s="10" t="s">
        <v>624</v>
      </c>
      <c r="H105" s="11" t="s">
        <v>625</v>
      </c>
      <c r="J105" s="849"/>
    </row>
    <row r="106" spans="1:10" s="4" customFormat="1">
      <c r="A106" s="254" t="s">
        <v>1010</v>
      </c>
      <c r="B106" s="64" t="e">
        <f>+B104+B96</f>
        <v>#REF!</v>
      </c>
      <c r="C106" s="64" t="e">
        <f>+C104+C96</f>
        <v>#REF!</v>
      </c>
      <c r="D106" s="64" t="e">
        <f>+D104+D96</f>
        <v>#REF!</v>
      </c>
      <c r="E106" s="64" t="e">
        <f>+E104+E96</f>
        <v>#REF!</v>
      </c>
      <c r="F106" s="64" t="e">
        <f>+F104+F96</f>
        <v>#REF!</v>
      </c>
      <c r="G106" s="64" t="e">
        <f>+G104+G96-0.5</f>
        <v>#REF!</v>
      </c>
      <c r="H106" s="53" t="e">
        <f>+H104+H96</f>
        <v>#REF!</v>
      </c>
      <c r="J106" s="849"/>
    </row>
    <row r="107" spans="1:10" s="4" customFormat="1">
      <c r="A107" s="849"/>
      <c r="B107" s="849"/>
      <c r="C107" s="849"/>
      <c r="D107" s="849"/>
      <c r="E107" s="849"/>
      <c r="F107" s="849"/>
      <c r="G107" s="849"/>
      <c r="H107" s="29"/>
      <c r="J107" s="849"/>
    </row>
    <row r="108" spans="1:10" s="4" customFormat="1">
      <c r="A108" s="314" t="s">
        <v>1502</v>
      </c>
      <c r="B108" s="28" t="e">
        <f>+B89*'Rev-Exp Plan (2)'!$AB11</f>
        <v>#REF!</v>
      </c>
      <c r="C108" s="28" t="e">
        <f>+C89*'Rev-Exp Plan (2)'!$AB11</f>
        <v>#REF!</v>
      </c>
      <c r="D108" s="28" t="e">
        <f>+D89*'Rev-Exp Plan (2)'!$AB11</f>
        <v>#REF!</v>
      </c>
      <c r="E108" s="28" t="e">
        <f>+E89*'Rev-Exp Plan (2)'!$AB11</f>
        <v>#REF!</v>
      </c>
      <c r="F108" s="28" t="e">
        <f>+F89*'Rev-Exp Plan (2)'!$AB11</f>
        <v>#REF!</v>
      </c>
      <c r="G108" s="849"/>
      <c r="H108" s="29" t="e">
        <f>SUM(B108:F108)</f>
        <v>#REF!</v>
      </c>
      <c r="J108" s="849"/>
    </row>
    <row r="109" spans="1:10" s="4" customFormat="1">
      <c r="A109" s="849"/>
      <c r="B109" s="849"/>
      <c r="C109" s="849"/>
      <c r="D109" s="849"/>
      <c r="E109" s="849"/>
      <c r="F109" s="849"/>
      <c r="G109" s="849"/>
      <c r="H109" s="29"/>
      <c r="J109" s="849"/>
    </row>
    <row r="110" spans="1:10" s="4" customFormat="1">
      <c r="A110" s="314" t="s">
        <v>958</v>
      </c>
      <c r="B110" s="13" t="e">
        <f t="shared" ref="B110:H110" si="11">+B108+B106</f>
        <v>#REF!</v>
      </c>
      <c r="C110" s="13" t="e">
        <f t="shared" si="11"/>
        <v>#REF!</v>
      </c>
      <c r="D110" s="13" t="e">
        <f t="shared" si="11"/>
        <v>#REF!</v>
      </c>
      <c r="E110" s="13" t="e">
        <f t="shared" si="11"/>
        <v>#REF!</v>
      </c>
      <c r="F110" s="13" t="e">
        <f t="shared" si="11"/>
        <v>#REF!</v>
      </c>
      <c r="G110" s="13" t="e">
        <f t="shared" si="11"/>
        <v>#REF!</v>
      </c>
      <c r="H110" s="13" t="e">
        <f t="shared" si="11"/>
        <v>#REF!</v>
      </c>
      <c r="J110" s="849"/>
    </row>
    <row r="111" spans="1:10" ht="12" customHeight="1">
      <c r="A111" s="314"/>
      <c r="B111" s="13"/>
      <c r="C111" s="13"/>
      <c r="D111" s="13"/>
      <c r="E111" s="13"/>
      <c r="F111" s="13"/>
      <c r="G111" s="13"/>
      <c r="H111" s="13"/>
    </row>
    <row r="112" spans="1:10">
      <c r="A112" s="314"/>
      <c r="B112" s="13"/>
      <c r="C112" s="13"/>
      <c r="D112" s="13"/>
      <c r="E112" s="13"/>
      <c r="F112" s="13"/>
      <c r="G112" s="13"/>
      <c r="H112" s="13"/>
    </row>
    <row r="113" spans="1:8">
      <c r="A113" s="314"/>
      <c r="B113" s="65"/>
      <c r="C113" s="13"/>
      <c r="F113" s="20"/>
      <c r="G113" s="20"/>
      <c r="H113" s="29"/>
    </row>
    <row r="114" spans="1:8">
      <c r="F114" s="20"/>
      <c r="G114" s="58"/>
      <c r="H114" s="29"/>
    </row>
    <row r="115" spans="1:8">
      <c r="A115" s="66" t="s">
        <v>677</v>
      </c>
      <c r="C115" s="67">
        <f>+'Sq Ft'!B255</f>
        <v>1620579</v>
      </c>
      <c r="F115" s="20"/>
      <c r="G115" s="58"/>
    </row>
    <row r="116" spans="1:8">
      <c r="A116" s="849" t="s">
        <v>679</v>
      </c>
      <c r="C116" s="68" t="e">
        <f>+(F96/C115)/2</f>
        <v>#REF!</v>
      </c>
      <c r="F116" s="20"/>
      <c r="G116" s="58"/>
    </row>
    <row r="117" spans="1:8">
      <c r="A117" s="849" t="s">
        <v>680</v>
      </c>
      <c r="C117" s="69" t="e">
        <f>+F9/SUM($B9:$D9)/2</f>
        <v>#REF!</v>
      </c>
      <c r="H117" s="29"/>
    </row>
    <row r="118" spans="1:8">
      <c r="A118" s="849" t="s">
        <v>681</v>
      </c>
      <c r="C118" s="69" t="e">
        <f>+E9/SUM($B9:$D9)</f>
        <v>#REF!</v>
      </c>
    </row>
  </sheetData>
  <pageMargins left="0.75" right="0.75" top="1" bottom="1" header="0.5" footer="0.5"/>
  <pageSetup orientation="landscape" r:id="rId1"/>
  <headerFooter alignWithMargins="0">
    <oddHeader>&amp;CPrelim Budget 14/15</oddHeader>
  </headerFooter>
  <rowBreaks count="3" manualBreakCount="3">
    <brk id="29" max="8" man="1"/>
    <brk id="66" max="8" man="1"/>
    <brk id="92" max="8"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27"/>
  <sheetViews>
    <sheetView workbookViewId="0"/>
  </sheetViews>
  <sheetFormatPr defaultColWidth="9.28515625" defaultRowHeight="12.75"/>
  <cols>
    <col min="1" max="1" width="19.42578125" style="759" customWidth="1"/>
    <col min="2" max="5" width="13.42578125" style="759" customWidth="1"/>
    <col min="6" max="6" width="13.42578125" style="759" bestFit="1" customWidth="1"/>
    <col min="7" max="8" width="15" style="759" bestFit="1" customWidth="1"/>
    <col min="9" max="9" width="7" style="4" bestFit="1" customWidth="1"/>
    <col min="10" max="10" width="22.42578125" style="759" bestFit="1" customWidth="1"/>
    <col min="11" max="16384" width="9.28515625" style="759"/>
  </cols>
  <sheetData>
    <row r="1" spans="1:9">
      <c r="A1" s="1" t="s">
        <v>929</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930</v>
      </c>
      <c r="B9" s="13" t="e">
        <f>+'Resource Alloc 14-15'!B112</f>
        <v>#REF!</v>
      </c>
      <c r="C9" s="13" t="e">
        <f>+'Resource Alloc 14-15'!C112</f>
        <v>#REF!</v>
      </c>
      <c r="D9" s="13" t="e">
        <f>+'Resource Alloc 14-15'!D112</f>
        <v>#REF!</v>
      </c>
      <c r="E9" s="13" t="e">
        <f>+'Resource Alloc 14-15'!E112</f>
        <v>#REF!</v>
      </c>
      <c r="F9" s="13" t="e">
        <f>+'Resource Alloc 14-15'!F112</f>
        <v>#REF!</v>
      </c>
      <c r="G9" s="13" t="e">
        <f>+'Resource Alloc 14-15'!G112</f>
        <v>#NAME?</v>
      </c>
      <c r="H9" s="14" t="e">
        <f>SUM(B9:G9)</f>
        <v>#REF!</v>
      </c>
      <c r="I9" s="4" t="s">
        <v>626</v>
      </c>
    </row>
    <row r="10" spans="1:9">
      <c r="A10" s="20"/>
      <c r="B10" s="65" t="e">
        <f>+B9/SUM($B9:$D9)</f>
        <v>#REF!</v>
      </c>
      <c r="C10" s="65" t="e">
        <f>+C9/SUM($B9:$D9)</f>
        <v>#REF!</v>
      </c>
      <c r="D10" s="65" t="e">
        <f>+D9/SUM($B9:$D9)</f>
        <v>#REF!</v>
      </c>
      <c r="E10" s="20"/>
      <c r="F10" s="20"/>
      <c r="G10" s="20"/>
      <c r="H10" s="20"/>
    </row>
    <row r="11" spans="1:9">
      <c r="A11" s="255" t="s">
        <v>826</v>
      </c>
      <c r="B11" s="15">
        <f>+Revenues!E114</f>
        <v>7851.5</v>
      </c>
      <c r="C11" s="15">
        <f>+Revenues!C114</f>
        <v>4051</v>
      </c>
      <c r="D11" s="15">
        <f>+Revenues!D114</f>
        <v>6704</v>
      </c>
      <c r="E11" s="16"/>
      <c r="F11" s="16"/>
      <c r="G11" s="16"/>
      <c r="H11" s="17">
        <f>SUM(B11:G11)</f>
        <v>18606.5</v>
      </c>
    </row>
    <row r="12" spans="1:9">
      <c r="A12" s="248" t="s">
        <v>23</v>
      </c>
      <c r="B12" s="19">
        <f>+Revenues!E101</f>
        <v>7826.69</v>
      </c>
      <c r="C12" s="19">
        <f>+Revenues!C101</f>
        <v>4206.88</v>
      </c>
      <c r="D12" s="19">
        <f>+Revenues!D101</f>
        <v>7038.5809523809521</v>
      </c>
      <c r="E12" s="20"/>
      <c r="F12" s="20"/>
      <c r="G12" s="20"/>
      <c r="H12" s="21">
        <f>SUM(B12:G12)</f>
        <v>19072.150952380951</v>
      </c>
    </row>
    <row r="13" spans="1:9">
      <c r="A13" s="248" t="s">
        <v>240</v>
      </c>
      <c r="B13" s="19">
        <f>+Revenues!E88</f>
        <v>8144.29</v>
      </c>
      <c r="C13" s="19">
        <f>+Revenues!C88</f>
        <v>4368.04</v>
      </c>
      <c r="D13" s="19">
        <f>+Revenues!D88</f>
        <v>7659.83</v>
      </c>
      <c r="E13" s="20"/>
      <c r="F13" s="20"/>
      <c r="G13" s="20"/>
      <c r="H13" s="21">
        <f>SUM(B13:G13)</f>
        <v>20172.16</v>
      </c>
    </row>
    <row r="14" spans="1:9">
      <c r="A14" s="248" t="s">
        <v>288</v>
      </c>
      <c r="B14" s="19">
        <f>+Revenues!E77</f>
        <v>8103.79</v>
      </c>
      <c r="C14" s="19">
        <f>+Revenues!C77</f>
        <v>4366.37</v>
      </c>
      <c r="D14" s="19">
        <f>+Revenues!D77</f>
        <v>7530.85</v>
      </c>
      <c r="E14" s="20"/>
      <c r="F14" s="20"/>
      <c r="G14" s="20"/>
      <c r="H14" s="21">
        <f>SUM(B14:G14)</f>
        <v>20001.010000000002</v>
      </c>
    </row>
    <row r="15" spans="1:9">
      <c r="A15" s="248" t="str">
        <f>+'Resource Alloc 13-14'!A13</f>
        <v>10/11 FTES</v>
      </c>
      <c r="B15" s="434">
        <f>+'Resource Alloc 13-14'!B13</f>
        <v>8252.7565523430494</v>
      </c>
      <c r="C15" s="434">
        <f>+'Resource Alloc 13-14'!C13</f>
        <v>4763.420000000001</v>
      </c>
      <c r="D15" s="434">
        <f>+'Resource Alloc 13-14'!D13</f>
        <v>8265.3352733028987</v>
      </c>
      <c r="E15" s="20"/>
      <c r="F15" s="20"/>
      <c r="G15" s="20"/>
      <c r="H15" s="21">
        <f>SUM(B15:G15)</f>
        <v>21281.51182564595</v>
      </c>
    </row>
    <row r="16" spans="1:9">
      <c r="A16" s="254" t="s">
        <v>888</v>
      </c>
      <c r="B16" s="22">
        <f>AVERAGE(B11:B15)</f>
        <v>8035.8053104686096</v>
      </c>
      <c r="C16" s="22">
        <f>AVERAGE(C11:C15)</f>
        <v>4351.1420000000007</v>
      </c>
      <c r="D16" s="22">
        <f>AVERAGE(D11:D15)</f>
        <v>7439.719245136771</v>
      </c>
      <c r="E16" s="23"/>
      <c r="F16" s="23"/>
      <c r="G16" s="23"/>
      <c r="H16" s="24">
        <f>SUM(B16:D16)</f>
        <v>19826.666555605381</v>
      </c>
      <c r="I16" s="4" t="s">
        <v>630</v>
      </c>
    </row>
    <row r="17" spans="1:10">
      <c r="A17" s="25" t="s">
        <v>631</v>
      </c>
      <c r="B17" s="65">
        <f>+B16/$H16</f>
        <v>0.40530289284543058</v>
      </c>
      <c r="C17" s="65">
        <f>+C16/$H16</f>
        <v>0.21945907991123445</v>
      </c>
      <c r="D17" s="65">
        <f>+D16/$H16</f>
        <v>0.37523802724333499</v>
      </c>
      <c r="E17" s="20"/>
      <c r="F17" s="20"/>
      <c r="G17" s="20"/>
      <c r="H17" s="19"/>
    </row>
    <row r="18" spans="1:10">
      <c r="A18" s="25"/>
      <c r="B18" s="26"/>
      <c r="C18" s="26"/>
      <c r="D18" s="26"/>
      <c r="E18" s="20"/>
      <c r="F18" s="20"/>
      <c r="G18" s="20"/>
      <c r="H18" s="19"/>
    </row>
    <row r="19" spans="1:10" s="4" customFormat="1" hidden="1">
      <c r="A19" s="27" t="s">
        <v>632</v>
      </c>
      <c r="B19" s="759"/>
      <c r="C19" s="759"/>
      <c r="D19" s="759"/>
      <c r="E19" s="759"/>
      <c r="F19" s="759"/>
      <c r="G19" s="759"/>
      <c r="H19" s="759"/>
      <c r="J19" s="759"/>
    </row>
    <row r="20" spans="1:10" s="4" customFormat="1" hidden="1">
      <c r="A20" s="20" t="s">
        <v>633</v>
      </c>
      <c r="B20" s="28" t="e">
        <f>0.8*B9</f>
        <v>#REF!</v>
      </c>
      <c r="C20" s="28" t="e">
        <f>0.8*C9</f>
        <v>#REF!</v>
      </c>
      <c r="D20" s="28" t="e">
        <f>0.8*D9</f>
        <v>#REF!</v>
      </c>
      <c r="E20" s="759"/>
      <c r="F20" s="759"/>
      <c r="G20" s="759"/>
      <c r="H20" s="28" t="e">
        <f>SUM(B20:G20)</f>
        <v>#REF!</v>
      </c>
      <c r="J20" s="759"/>
    </row>
    <row r="21" spans="1:10" s="4" customFormat="1" hidden="1">
      <c r="A21" s="20"/>
      <c r="B21" s="759"/>
      <c r="C21" s="759"/>
      <c r="D21" s="759"/>
      <c r="E21" s="759"/>
      <c r="F21" s="759"/>
      <c r="G21" s="759"/>
      <c r="H21" s="759"/>
      <c r="J21" s="759"/>
    </row>
    <row r="22" spans="1:10" s="4" customFormat="1" hidden="1">
      <c r="A22" s="27" t="s">
        <v>634</v>
      </c>
      <c r="B22" s="759"/>
      <c r="C22" s="759"/>
      <c r="D22" s="759"/>
      <c r="E22" s="759"/>
      <c r="F22" s="759"/>
      <c r="G22" s="759"/>
      <c r="H22" s="759"/>
      <c r="J22" s="759"/>
    </row>
    <row r="23" spans="1:10" s="4" customFormat="1" hidden="1">
      <c r="A23" s="20" t="s">
        <v>635</v>
      </c>
      <c r="B23" s="28" t="e">
        <f>+SUM($B9:$D9,-$H20)/$H16*B16</f>
        <v>#REF!</v>
      </c>
      <c r="C23" s="28" t="e">
        <f>+SUM($B9:$D9,-$H20)/$H16*C16</f>
        <v>#REF!</v>
      </c>
      <c r="D23" s="28" t="e">
        <f>+SUM($B9:$D9,-$H20)/$H16*D16</f>
        <v>#REF!</v>
      </c>
      <c r="E23" s="759"/>
      <c r="F23" s="759"/>
      <c r="G23" s="759"/>
      <c r="H23" s="28" t="e">
        <f>SUM(B23:G23)</f>
        <v>#REF!</v>
      </c>
      <c r="J23" s="759"/>
    </row>
    <row r="24" spans="1:10" s="4" customFormat="1" hidden="1">
      <c r="A24" s="20"/>
      <c r="B24" s="759"/>
      <c r="C24" s="759"/>
      <c r="D24" s="759"/>
      <c r="E24" s="759"/>
      <c r="F24" s="759"/>
      <c r="G24" s="759"/>
      <c r="H24" s="759"/>
      <c r="J24" s="759"/>
    </row>
    <row r="25" spans="1:10" s="4" customFormat="1" hidden="1">
      <c r="A25" s="27" t="s">
        <v>943</v>
      </c>
      <c r="B25" s="759"/>
      <c r="C25" s="759"/>
      <c r="D25" s="759"/>
      <c r="E25" s="759"/>
      <c r="F25" s="759"/>
      <c r="G25" s="759"/>
      <c r="H25" s="759"/>
      <c r="J25" s="759"/>
    </row>
    <row r="26" spans="1:10" s="4" customFormat="1" hidden="1">
      <c r="A26" s="20" t="s">
        <v>625</v>
      </c>
      <c r="B26" s="29" t="e">
        <f>+B23+B20</f>
        <v>#REF!</v>
      </c>
      <c r="C26" s="29" t="e">
        <f>+C23+C20</f>
        <v>#REF!</v>
      </c>
      <c r="D26" s="29" t="e">
        <f>+D23+D20</f>
        <v>#REF!</v>
      </c>
      <c r="E26" s="759"/>
      <c r="F26" s="759"/>
      <c r="G26" s="759"/>
      <c r="H26" s="28" t="e">
        <f>SUM(B26:G26)</f>
        <v>#REF!</v>
      </c>
      <c r="J26" s="759"/>
    </row>
    <row r="27" spans="1:10" s="4" customFormat="1" hidden="1">
      <c r="A27" s="25" t="s">
        <v>636</v>
      </c>
      <c r="B27" s="29" t="e">
        <f>+B26-B9</f>
        <v>#REF!</v>
      </c>
      <c r="C27" s="29" t="e">
        <f>+C26-C9</f>
        <v>#REF!</v>
      </c>
      <c r="D27" s="29" t="e">
        <f>+D26-D9</f>
        <v>#REF!</v>
      </c>
      <c r="E27" s="759"/>
      <c r="F27" s="759"/>
      <c r="G27" s="759"/>
      <c r="H27" s="28" t="e">
        <f>SUM(B27:G27)</f>
        <v>#REF!</v>
      </c>
      <c r="J27" s="759"/>
    </row>
    <row r="28" spans="1:10" s="4" customFormat="1">
      <c r="A28" s="25"/>
      <c r="B28" s="759"/>
      <c r="C28" s="759"/>
      <c r="D28" s="759"/>
      <c r="E28" s="759"/>
      <c r="F28" s="759"/>
      <c r="G28" s="759"/>
      <c r="H28" s="759"/>
      <c r="J28" s="759"/>
    </row>
    <row r="29" spans="1:10" s="4" customFormat="1">
      <c r="A29" s="30" t="s">
        <v>1104</v>
      </c>
      <c r="B29" s="759"/>
      <c r="C29" s="759"/>
      <c r="D29" s="759"/>
      <c r="E29" s="759"/>
      <c r="F29" s="759"/>
      <c r="G29" s="759"/>
      <c r="H29" s="759"/>
      <c r="J29" s="759"/>
    </row>
    <row r="30" spans="1:10" s="4" customFormat="1">
      <c r="A30" s="25" t="s">
        <v>638</v>
      </c>
      <c r="B30" s="29"/>
      <c r="C30" s="915">
        <v>1300000</v>
      </c>
      <c r="D30" s="29" t="e">
        <f>MAX(D27,0)</f>
        <v>#REF!</v>
      </c>
      <c r="E30" s="759"/>
      <c r="F30" s="759"/>
      <c r="G30" s="759"/>
      <c r="H30" s="28" t="e">
        <f>SUM(B30:G30)</f>
        <v>#REF!</v>
      </c>
      <c r="J30" s="759"/>
    </row>
    <row r="31" spans="1:10" s="4" customFormat="1">
      <c r="A31" s="25"/>
      <c r="B31" s="29"/>
      <c r="C31" s="29"/>
      <c r="D31" s="29"/>
      <c r="E31" s="759"/>
      <c r="F31" s="759"/>
      <c r="G31" s="759"/>
      <c r="H31" s="28"/>
      <c r="J31" s="759"/>
    </row>
    <row r="33" spans="1:10" s="4" customFormat="1">
      <c r="A33" s="6" t="s">
        <v>639</v>
      </c>
      <c r="B33" s="759"/>
      <c r="C33" s="759"/>
      <c r="D33" s="759"/>
      <c r="E33" s="759"/>
      <c r="F33" s="759"/>
      <c r="G33" s="759"/>
      <c r="H33" s="759"/>
      <c r="J33" s="759"/>
    </row>
    <row r="34" spans="1:10" s="4" customFormat="1">
      <c r="A34" s="7" t="s">
        <v>931</v>
      </c>
      <c r="B34" s="759"/>
      <c r="C34" s="759"/>
      <c r="D34" s="759"/>
      <c r="E34" s="759"/>
      <c r="F34" s="759"/>
      <c r="G34" s="759"/>
      <c r="H34" s="759"/>
      <c r="J34" s="759"/>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Plan'!AA33:AA40,'Rev-Exp Plan'!AA43,'Rev-Exp Plan'!AA45:AA51)-SUM('Rev-Exp Plan'!Z33:Z40,'Rev-Exp Plan'!Z43,'Rev-Exp Plan'!Z45:Z51)-G61</f>
        <v>#REF!</v>
      </c>
      <c r="H36" s="32" t="e">
        <f>SUM(G36)</f>
        <v>#REF!</v>
      </c>
      <c r="I36" s="4" t="s">
        <v>641</v>
      </c>
    </row>
    <row r="37" spans="1:10">
      <c r="A37" s="16"/>
      <c r="G37" s="28"/>
      <c r="H37" s="29"/>
    </row>
    <row r="38" spans="1:10">
      <c r="A38" s="20"/>
      <c r="G38" s="29"/>
    </row>
    <row r="39" spans="1:10">
      <c r="A39" s="256" t="s">
        <v>1110</v>
      </c>
    </row>
    <row r="40" spans="1:10">
      <c r="A40" s="33" t="s">
        <v>932</v>
      </c>
    </row>
    <row r="41" spans="1:10">
      <c r="A41" s="8"/>
      <c r="B41" s="9" t="s">
        <v>619</v>
      </c>
      <c r="C41" s="9" t="s">
        <v>620</v>
      </c>
      <c r="D41" s="9" t="s">
        <v>621</v>
      </c>
      <c r="E41" s="10" t="s">
        <v>622</v>
      </c>
      <c r="F41" s="10" t="s">
        <v>623</v>
      </c>
      <c r="G41" s="10" t="s">
        <v>624</v>
      </c>
      <c r="H41" s="11" t="s">
        <v>625</v>
      </c>
    </row>
    <row r="42" spans="1:10">
      <c r="A42" s="12"/>
      <c r="B42" s="22"/>
      <c r="C42" s="22"/>
      <c r="D42" s="22"/>
      <c r="E42" s="23"/>
      <c r="F42" s="335">
        <f>0</f>
        <v>0</v>
      </c>
      <c r="G42" s="23"/>
      <c r="H42" s="32">
        <f>SUM(F42:G42)</f>
        <v>0</v>
      </c>
      <c r="J42" s="71" t="s">
        <v>22</v>
      </c>
    </row>
    <row r="43" spans="1:10">
      <c r="A43" s="20"/>
      <c r="B43" s="19"/>
      <c r="C43" s="19"/>
      <c r="D43" s="19"/>
      <c r="F43" s="28"/>
      <c r="H43" s="29"/>
    </row>
    <row r="44" spans="1:10">
      <c r="A44" s="20"/>
      <c r="B44" s="19"/>
      <c r="C44" s="19"/>
      <c r="D44" s="19"/>
    </row>
    <row r="45" spans="1:10">
      <c r="A45" s="6" t="s">
        <v>642</v>
      </c>
    </row>
    <row r="46" spans="1:10">
      <c r="A46" s="7" t="s">
        <v>933</v>
      </c>
      <c r="D46" s="7"/>
      <c r="J46" s="34"/>
    </row>
    <row r="47" spans="1:10">
      <c r="A47" s="8"/>
      <c r="B47" s="9" t="s">
        <v>619</v>
      </c>
      <c r="C47" s="9" t="s">
        <v>620</v>
      </c>
      <c r="D47" s="9" t="s">
        <v>621</v>
      </c>
      <c r="E47" s="10" t="s">
        <v>622</v>
      </c>
      <c r="F47" s="10" t="s">
        <v>623</v>
      </c>
      <c r="G47" s="10" t="s">
        <v>624</v>
      </c>
      <c r="H47" s="11" t="s">
        <v>625</v>
      </c>
    </row>
    <row r="48" spans="1:10">
      <c r="A48" s="248" t="s">
        <v>934</v>
      </c>
      <c r="B48" s="19">
        <f>+Revenues!E127</f>
        <v>7460.2554667969489</v>
      </c>
      <c r="C48" s="19">
        <f>+Revenues!C127</f>
        <v>3909.9399999999996</v>
      </c>
      <c r="D48" s="19">
        <f>+Revenues!D127</f>
        <v>6353.6983661673603</v>
      </c>
      <c r="E48" s="20"/>
      <c r="F48" s="20"/>
      <c r="G48" s="19"/>
      <c r="H48" s="35">
        <f>SUM(B48:G48)</f>
        <v>17723.893832964306</v>
      </c>
    </row>
    <row r="49" spans="1:10">
      <c r="A49" s="248" t="s">
        <v>889</v>
      </c>
      <c r="B49" s="36">
        <f>AVERAGE(B48,B11,B12,B13,B14)</f>
        <v>7877.3050933593895</v>
      </c>
      <c r="C49" s="36">
        <f>AVERAGE(C48,C11,C12,C13,C14)</f>
        <v>4180.4459999999999</v>
      </c>
      <c r="D49" s="36">
        <f>AVERAGE(D48,D11,D12,D13,D14)</f>
        <v>7057.3918637096622</v>
      </c>
      <c r="E49" s="20"/>
      <c r="F49" s="20"/>
      <c r="G49" s="20">
        <f>+G48/3</f>
        <v>0</v>
      </c>
      <c r="H49" s="35">
        <f>SUM(B49:G49)</f>
        <v>19115.142957069052</v>
      </c>
    </row>
    <row r="50" spans="1:10">
      <c r="A50" s="254" t="s">
        <v>890</v>
      </c>
      <c r="B50" s="37">
        <f>+B49-(B16)</f>
        <v>-158.5002171092201</v>
      </c>
      <c r="C50" s="37">
        <f>+C49-(C16)</f>
        <v>-170.69600000000082</v>
      </c>
      <c r="D50" s="37">
        <f>+D49-(D16)</f>
        <v>-382.32738142710878</v>
      </c>
      <c r="E50" s="23"/>
      <c r="F50" s="23"/>
      <c r="G50" s="23">
        <f>+G49</f>
        <v>0</v>
      </c>
      <c r="H50" s="38">
        <f>SUM(B50:G50)</f>
        <v>-711.5235985363297</v>
      </c>
      <c r="J50" s="39"/>
    </row>
    <row r="51" spans="1:10">
      <c r="A51" s="7" t="s">
        <v>1105</v>
      </c>
    </row>
    <row r="52" spans="1:10">
      <c r="A52" s="7"/>
      <c r="H52" s="488" t="e">
        <f>+ROUND((4366*H50-F42)/(1+C127+C126)/H50,)</f>
        <v>#REF!</v>
      </c>
    </row>
    <row r="53" spans="1:10">
      <c r="A53" s="8" t="s">
        <v>646</v>
      </c>
      <c r="B53" s="916"/>
      <c r="C53" s="916"/>
      <c r="D53" s="916"/>
      <c r="E53" s="16"/>
      <c r="F53" s="16"/>
      <c r="G53" s="40">
        <f>3600*G50</f>
        <v>0</v>
      </c>
      <c r="H53" s="41">
        <f>SUM(B53:G53)</f>
        <v>0</v>
      </c>
      <c r="J53" s="759">
        <f>3788*(1+Assumptions!I108)</f>
        <v>3820.5767999999998</v>
      </c>
    </row>
    <row r="54" spans="1:10" s="762" customFormat="1">
      <c r="A54" s="254" t="s">
        <v>914</v>
      </c>
      <c r="B54" s="31" t="e">
        <f>'[10]15-16'!$D$13-'[10]14-15'!$D$13</f>
        <v>#REF!</v>
      </c>
      <c r="C54" s="31" t="e">
        <f>+'[10]15-16'!$B$13-'[10]14-15'!$B$13</f>
        <v>#REF!</v>
      </c>
      <c r="D54" s="31" t="e">
        <f>+'[10]15-16'!$C$13-'[10]14-15'!$C$13</f>
        <v>#REF!</v>
      </c>
      <c r="E54" s="23"/>
      <c r="F54" s="23"/>
      <c r="G54" s="839"/>
      <c r="H54" s="32" t="e">
        <f>SUM(B54:G54)</f>
        <v>#REF!</v>
      </c>
      <c r="I54" s="4"/>
    </row>
    <row r="55" spans="1:10" s="762" customFormat="1">
      <c r="A55" s="254" t="s">
        <v>625</v>
      </c>
      <c r="B55" s="31" t="e">
        <f>SUM(B53:B54)</f>
        <v>#REF!</v>
      </c>
      <c r="C55" s="31" t="e">
        <f>SUM(C53:C54)</f>
        <v>#REF!</v>
      </c>
      <c r="D55" s="31" t="e">
        <f>SUM(D53:D54)</f>
        <v>#REF!</v>
      </c>
      <c r="E55" s="23"/>
      <c r="F55" s="23"/>
      <c r="G55" s="63">
        <f>SUM(G53:G54)</f>
        <v>0</v>
      </c>
      <c r="H55" s="32" t="e">
        <f>SUM(B55:G55)</f>
        <v>#REF!</v>
      </c>
      <c r="I55" s="4" t="s">
        <v>647</v>
      </c>
      <c r="J55" s="29" t="e">
        <f>+H54+E61</f>
        <v>#REF!</v>
      </c>
    </row>
    <row r="57" spans="1:10">
      <c r="A57" s="256" t="s">
        <v>891</v>
      </c>
      <c r="H57" s="42"/>
    </row>
    <row r="58" spans="1:10">
      <c r="A58" s="43" t="s">
        <v>1114</v>
      </c>
    </row>
    <row r="59" spans="1:10">
      <c r="A59" s="8"/>
      <c r="B59" s="44" t="s">
        <v>619</v>
      </c>
      <c r="C59" s="44" t="s">
        <v>620</v>
      </c>
      <c r="D59" s="44" t="s">
        <v>621</v>
      </c>
      <c r="E59" s="45" t="s">
        <v>622</v>
      </c>
      <c r="F59" s="45" t="s">
        <v>623</v>
      </c>
      <c r="G59" s="45" t="s">
        <v>624</v>
      </c>
      <c r="H59" s="46" t="s">
        <v>625</v>
      </c>
    </row>
    <row r="60" spans="1:10">
      <c r="A60" s="18" t="s">
        <v>646</v>
      </c>
      <c r="B60" s="20"/>
      <c r="C60" s="20"/>
      <c r="D60" s="20"/>
      <c r="E60" s="917" t="e">
        <f>C127*H53</f>
        <v>#REF!</v>
      </c>
      <c r="F60" s="917" t="e">
        <f>C126*H53</f>
        <v>#REF!</v>
      </c>
      <c r="G60" s="20"/>
      <c r="H60" s="49" t="e">
        <f>SUM(E60:G60)</f>
        <v>#REF!</v>
      </c>
      <c r="I60" s="4" t="s">
        <v>648</v>
      </c>
    </row>
    <row r="61" spans="1:10" s="762" customFormat="1">
      <c r="A61" s="254" t="s">
        <v>914</v>
      </c>
      <c r="B61" s="23"/>
      <c r="C61" s="23"/>
      <c r="D61" s="23"/>
      <c r="E61" s="31" t="e">
        <f>+'[10]15-16'!$E$13-'[10]14-15'!$E$13</f>
        <v>#REF!</v>
      </c>
      <c r="F61" s="31"/>
      <c r="G61" s="31" t="e">
        <f>+'[10]15-16'!$I$15</f>
        <v>#REF!</v>
      </c>
      <c r="H61" s="32" t="e">
        <f>SUM(B61:G61)</f>
        <v>#REF!</v>
      </c>
      <c r="I61" s="4"/>
      <c r="J61" s="29" t="e">
        <f>+H54+H61</f>
        <v>#REF!</v>
      </c>
    </row>
    <row r="62" spans="1:10" s="762" customFormat="1">
      <c r="A62" s="254" t="s">
        <v>625</v>
      </c>
      <c r="B62" s="31">
        <f t="shared" ref="B62:G62" si="0">SUM(B60:B61)</f>
        <v>0</v>
      </c>
      <c r="C62" s="31">
        <f t="shared" si="0"/>
        <v>0</v>
      </c>
      <c r="D62" s="31">
        <f t="shared" si="0"/>
        <v>0</v>
      </c>
      <c r="E62" s="63" t="e">
        <f t="shared" si="0"/>
        <v>#REF!</v>
      </c>
      <c r="F62" s="63" t="e">
        <f t="shared" si="0"/>
        <v>#REF!</v>
      </c>
      <c r="G62" s="63" t="e">
        <f t="shared" si="0"/>
        <v>#REF!</v>
      </c>
      <c r="H62" s="32" t="e">
        <f>SUM(B62:G62)</f>
        <v>#REF!</v>
      </c>
      <c r="I62" s="4"/>
      <c r="J62" s="29" t="e">
        <f>+J61-'[11]15-16'!$I$11</f>
        <v>#REF!</v>
      </c>
    </row>
    <row r="63" spans="1:10">
      <c r="E63" s="28"/>
      <c r="F63" s="28"/>
      <c r="H63" s="29"/>
    </row>
    <row r="65" spans="1:10">
      <c r="A65" s="6" t="s">
        <v>649</v>
      </c>
    </row>
    <row r="66" spans="1:10">
      <c r="A66" s="7" t="s">
        <v>827</v>
      </c>
    </row>
    <row r="67" spans="1:10">
      <c r="A67" s="8"/>
      <c r="B67" s="44" t="s">
        <v>619</v>
      </c>
      <c r="C67" s="44" t="s">
        <v>620</v>
      </c>
      <c r="D67" s="44" t="s">
        <v>621</v>
      </c>
      <c r="E67" s="45" t="s">
        <v>622</v>
      </c>
      <c r="F67" s="45" t="s">
        <v>623</v>
      </c>
      <c r="G67" s="45" t="s">
        <v>624</v>
      </c>
      <c r="H67" s="46" t="s">
        <v>625</v>
      </c>
    </row>
    <row r="68" spans="1:10">
      <c r="A68" s="47" t="s">
        <v>650</v>
      </c>
      <c r="B68" s="13" t="e">
        <f>+'[12]15-16 Adjust Alloc incl ben inc'!$D$74+'[12]15-16 Adjust Alloc incl ben inc'!$D$81</f>
        <v>#REF!</v>
      </c>
      <c r="C68" s="13" t="e">
        <f>+'[12]15-16 Adjust Alloc incl ben inc'!$B$74+'[12]15-16 Adjust Alloc incl ben inc'!$B$81</f>
        <v>#REF!</v>
      </c>
      <c r="D68" s="13" t="e">
        <f>+'[12]15-16 Adjust Alloc incl ben inc'!$C$74+'[12]15-16 Adjust Alloc incl ben inc'!$C$81</f>
        <v>#REF!</v>
      </c>
      <c r="E68" s="13" t="e">
        <f>+'[12]15-16 Adjust Alloc incl ben inc'!$E$74+'[12]15-16 Adjust Alloc incl ben inc'!$E$81</f>
        <v>#REF!</v>
      </c>
      <c r="F68" s="13" t="e">
        <f>+'[12]15-16 Adjust Alloc incl ben inc'!$F$74+'[12]15-16 Adjust Alloc incl ben inc'!$F$81</f>
        <v>#REF!</v>
      </c>
      <c r="G68" s="13"/>
      <c r="H68" s="14" t="e">
        <f>SUM(B68:G68)</f>
        <v>#REF!</v>
      </c>
      <c r="I68" s="4" t="s">
        <v>651</v>
      </c>
    </row>
    <row r="69" spans="1:10">
      <c r="A69" s="47" t="s">
        <v>476</v>
      </c>
      <c r="B69" s="13"/>
      <c r="C69" s="13"/>
      <c r="D69" s="13"/>
      <c r="E69" s="13"/>
      <c r="F69" s="13"/>
      <c r="G69" s="13" t="e">
        <f>+'Rev-Exp Plan'!AA41-'Rev-Exp Plan'!Z41-SUM(B69:F69,B68:G68)</f>
        <v>#REF!</v>
      </c>
      <c r="H69" s="14" t="e">
        <f>SUM(B69:G69)</f>
        <v>#REF!</v>
      </c>
      <c r="J69" s="29" t="e">
        <f>+H69+H68</f>
        <v>#REF!</v>
      </c>
    </row>
    <row r="70" spans="1:10" s="919" customFormat="1">
      <c r="A70" s="918" t="s">
        <v>1115</v>
      </c>
      <c r="B70" s="917">
        <f>+CPI!B9</f>
        <v>74213.039000000004</v>
      </c>
      <c r="C70" s="917">
        <f>+CPI!C9</f>
        <v>23083.436999999998</v>
      </c>
      <c r="D70" s="917">
        <f>+CPI!D9</f>
        <v>40440.74</v>
      </c>
      <c r="E70" s="917">
        <f>+CPI!E9</f>
        <v>63045.567999999999</v>
      </c>
      <c r="F70" s="917">
        <f>+CPI!F9</f>
        <v>21194.266</v>
      </c>
      <c r="G70" s="13"/>
      <c r="H70" s="14">
        <f>SUM(B70:G70)</f>
        <v>221977.05</v>
      </c>
      <c r="I70" s="4"/>
    </row>
    <row r="71" spans="1:10" s="999" customFormat="1">
      <c r="A71" s="1002" t="s">
        <v>166</v>
      </c>
      <c r="B71" s="125"/>
      <c r="C71" s="125"/>
      <c r="D71" s="125"/>
      <c r="E71" s="125" t="e">
        <f>+'[13]Payroll Updated'!$Y$20-Foundation!D16</f>
        <v>#REF!</v>
      </c>
      <c r="F71" s="125"/>
      <c r="G71" s="13"/>
      <c r="H71" s="14" t="e">
        <f>SUM(B71:G71)</f>
        <v>#REF!</v>
      </c>
      <c r="I71" s="4"/>
    </row>
    <row r="72" spans="1:10">
      <c r="A72" s="918" t="s">
        <v>1120</v>
      </c>
      <c r="B72" s="13"/>
      <c r="C72" s="13"/>
      <c r="D72" s="13"/>
      <c r="E72" s="13"/>
      <c r="F72" s="13">
        <v>0</v>
      </c>
      <c r="G72" s="917">
        <v>1500000</v>
      </c>
      <c r="H72" s="14">
        <f>SUM(B72:G72)</f>
        <v>1500000</v>
      </c>
    </row>
    <row r="73" spans="1:10">
      <c r="A73" s="50"/>
      <c r="B73" s="52" t="e">
        <f>SUM(B68:B72)</f>
        <v>#REF!</v>
      </c>
      <c r="C73" s="52" t="e">
        <f t="shared" ref="C73:H73" si="1">SUM(C68:C72)</f>
        <v>#REF!</v>
      </c>
      <c r="D73" s="52" t="e">
        <f t="shared" si="1"/>
        <v>#REF!</v>
      </c>
      <c r="E73" s="52" t="e">
        <f t="shared" si="1"/>
        <v>#REF!</v>
      </c>
      <c r="F73" s="52" t="e">
        <f t="shared" si="1"/>
        <v>#REF!</v>
      </c>
      <c r="G73" s="52" t="e">
        <f t="shared" si="1"/>
        <v>#REF!</v>
      </c>
      <c r="H73" s="52" t="e">
        <f t="shared" si="1"/>
        <v>#REF!</v>
      </c>
    </row>
    <row r="74" spans="1:10">
      <c r="A74" s="54"/>
    </row>
    <row r="76" spans="1:10">
      <c r="A76" s="6" t="s">
        <v>653</v>
      </c>
    </row>
    <row r="77" spans="1:10">
      <c r="A77" s="7" t="s">
        <v>338</v>
      </c>
    </row>
    <row r="78" spans="1:10">
      <c r="A78" s="7" t="s">
        <v>654</v>
      </c>
    </row>
    <row r="79" spans="1:10">
      <c r="A79" s="759" t="s">
        <v>655</v>
      </c>
      <c r="B79" s="29" t="e">
        <f>+H9</f>
        <v>#REF!</v>
      </c>
      <c r="D79" s="71" t="s">
        <v>826</v>
      </c>
      <c r="E79" s="55">
        <f>+Revenues!F114</f>
        <v>18606.5</v>
      </c>
      <c r="F79" s="759" t="s">
        <v>656</v>
      </c>
    </row>
    <row r="80" spans="1:10">
      <c r="A80" s="71" t="s">
        <v>1111</v>
      </c>
      <c r="B80" s="28">
        <f>+'SB361'!M62-'SB361'!L62</f>
        <v>11998958.83186774</v>
      </c>
      <c r="D80" s="71" t="s">
        <v>934</v>
      </c>
      <c r="E80" s="39">
        <f>+Revenues!F127</f>
        <v>17723.89383296431</v>
      </c>
      <c r="F80" s="759" t="s">
        <v>657</v>
      </c>
    </row>
    <row r="81" spans="1:10">
      <c r="A81" s="71" t="s">
        <v>1112</v>
      </c>
      <c r="B81" s="28">
        <f>+'SB361'!M64-'SB361'!L64</f>
        <v>899128.35000000242</v>
      </c>
      <c r="D81" s="759" t="s">
        <v>658</v>
      </c>
      <c r="E81" s="39">
        <f>MAX(E80-E79,0)</f>
        <v>0</v>
      </c>
    </row>
    <row r="82" spans="1:10">
      <c r="A82" s="23" t="s">
        <v>659</v>
      </c>
      <c r="B82" s="28" t="e">
        <f>+'Rev-Exp Plan'!AA25-SUM('Resource Alloc 15-16'!B79:B81)</f>
        <v>#REF!</v>
      </c>
      <c r="D82" s="71" t="s">
        <v>478</v>
      </c>
      <c r="E82" s="164"/>
      <c r="F82" s="181"/>
      <c r="I82" s="4" t="s">
        <v>641</v>
      </c>
    </row>
    <row r="83" spans="1:10">
      <c r="A83" s="71" t="s">
        <v>1113</v>
      </c>
      <c r="B83" s="57" t="e">
        <f>SUM(B79:B82)</f>
        <v>#REF!</v>
      </c>
      <c r="D83" s="71" t="s">
        <v>344</v>
      </c>
      <c r="E83" s="55">
        <v>0</v>
      </c>
    </row>
    <row r="84" spans="1:10">
      <c r="A84" s="759" t="s">
        <v>660</v>
      </c>
      <c r="B84" s="29" t="e">
        <f>+B83-B79</f>
        <v>#REF!</v>
      </c>
    </row>
    <row r="85" spans="1:10">
      <c r="A85" s="71" t="s">
        <v>880</v>
      </c>
      <c r="B85" s="29" t="e">
        <f>+B84-E82-E83</f>
        <v>#REF!</v>
      </c>
      <c r="C85" s="243"/>
    </row>
    <row r="86" spans="1:10">
      <c r="A86" s="759" t="s">
        <v>661</v>
      </c>
      <c r="C86" s="29"/>
    </row>
    <row r="87" spans="1:10">
      <c r="A87" s="759" t="s">
        <v>662</v>
      </c>
      <c r="B87" s="29" t="e">
        <f>+H30</f>
        <v>#REF!</v>
      </c>
    </row>
    <row r="88" spans="1:10">
      <c r="A88" s="759" t="s">
        <v>663</v>
      </c>
      <c r="B88" s="29" t="e">
        <f>+H36</f>
        <v>#REF!</v>
      </c>
    </row>
    <row r="89" spans="1:10" s="4" customFormat="1">
      <c r="A89" s="759" t="s">
        <v>664</v>
      </c>
      <c r="B89" s="29">
        <f>+H42</f>
        <v>0</v>
      </c>
      <c r="C89" s="759"/>
      <c r="D89" s="759"/>
      <c r="E89" s="759"/>
      <c r="F89" s="759"/>
      <c r="G89" s="759"/>
      <c r="H89" s="759"/>
      <c r="J89" s="759"/>
    </row>
    <row r="90" spans="1:10" s="4" customFormat="1">
      <c r="A90" s="759" t="s">
        <v>665</v>
      </c>
      <c r="B90" s="29" t="e">
        <f>+H55</f>
        <v>#REF!</v>
      </c>
      <c r="C90" s="759"/>
      <c r="D90" s="759"/>
      <c r="E90" s="759"/>
      <c r="F90" s="759"/>
      <c r="G90" s="759"/>
      <c r="H90" s="759"/>
      <c r="J90" s="759"/>
    </row>
    <row r="91" spans="1:10" s="4" customFormat="1">
      <c r="A91" s="759" t="s">
        <v>666</v>
      </c>
      <c r="B91" s="29" t="e">
        <f>+H62</f>
        <v>#REF!</v>
      </c>
      <c r="C91" s="759"/>
      <c r="D91" s="759"/>
      <c r="E91" s="759"/>
      <c r="F91" s="759"/>
      <c r="G91" s="759"/>
      <c r="H91" s="759"/>
      <c r="J91" s="759"/>
    </row>
    <row r="92" spans="1:10" s="4" customFormat="1">
      <c r="A92" s="759" t="s">
        <v>667</v>
      </c>
      <c r="B92" s="29" t="e">
        <f>+H73</f>
        <v>#REF!</v>
      </c>
      <c r="C92" s="759"/>
      <c r="D92" s="759"/>
      <c r="E92" s="759"/>
      <c r="F92" s="759"/>
      <c r="G92" s="759"/>
      <c r="H92" s="759"/>
      <c r="J92" s="759"/>
    </row>
    <row r="93" spans="1:10" s="4" customFormat="1">
      <c r="A93" s="759"/>
      <c r="B93" s="57" t="e">
        <f>SUM(B87:B92)</f>
        <v>#REF!</v>
      </c>
      <c r="C93" s="759"/>
      <c r="D93" s="759"/>
      <c r="E93" s="759"/>
      <c r="F93" s="759"/>
      <c r="G93" s="759"/>
      <c r="H93" s="759"/>
      <c r="J93" s="759"/>
    </row>
    <row r="94" spans="1:10" s="4" customFormat="1">
      <c r="A94" s="759" t="s">
        <v>668</v>
      </c>
      <c r="B94" s="29" t="e">
        <f>+B85-B93</f>
        <v>#REF!</v>
      </c>
      <c r="C94" s="759"/>
      <c r="D94" s="759"/>
      <c r="E94" s="759"/>
      <c r="F94" s="759"/>
      <c r="G94" s="759"/>
      <c r="H94" s="759"/>
      <c r="J94" s="759"/>
    </row>
    <row r="95" spans="1:10" s="4" customFormat="1">
      <c r="A95" s="759"/>
      <c r="B95" s="29"/>
      <c r="C95" s="759"/>
      <c r="D95" s="759"/>
      <c r="E95" s="759"/>
      <c r="F95" s="759"/>
      <c r="G95" s="759"/>
      <c r="H95" s="759"/>
      <c r="J95" s="759"/>
    </row>
    <row r="96" spans="1:10" s="4" customFormat="1">
      <c r="A96" s="8"/>
      <c r="B96" s="9" t="s">
        <v>619</v>
      </c>
      <c r="C96" s="9" t="s">
        <v>620</v>
      </c>
      <c r="D96" s="9" t="s">
        <v>621</v>
      </c>
      <c r="E96" s="10" t="s">
        <v>622</v>
      </c>
      <c r="F96" s="10" t="s">
        <v>623</v>
      </c>
      <c r="G96" s="10" t="s">
        <v>624</v>
      </c>
      <c r="H96" s="11" t="s">
        <v>625</v>
      </c>
      <c r="J96" s="759"/>
    </row>
    <row r="97" spans="1:10" s="4" customFormat="1">
      <c r="A97" s="248" t="s">
        <v>930</v>
      </c>
      <c r="B97" s="58" t="e">
        <f>+B9</f>
        <v>#REF!</v>
      </c>
      <c r="C97" s="58" t="e">
        <f>+C9</f>
        <v>#REF!</v>
      </c>
      <c r="D97" s="58" t="e">
        <f>+D9</f>
        <v>#REF!</v>
      </c>
      <c r="E97" s="58" t="e">
        <f>+E9</f>
        <v>#REF!</v>
      </c>
      <c r="F97" s="58" t="e">
        <f>+F9</f>
        <v>#REF!</v>
      </c>
      <c r="G97" s="59" t="s">
        <v>669</v>
      </c>
      <c r="H97" s="49" t="e">
        <f>SUM(B97:G97)</f>
        <v>#REF!</v>
      </c>
      <c r="J97" s="759"/>
    </row>
    <row r="98" spans="1:10" s="4" customFormat="1">
      <c r="A98" s="60" t="s">
        <v>670</v>
      </c>
      <c r="B98" s="26" t="e">
        <f>+B97/$H97</f>
        <v>#REF!</v>
      </c>
      <c r="C98" s="26" t="e">
        <f>+C97/$H97</f>
        <v>#REF!</v>
      </c>
      <c r="D98" s="26" t="e">
        <f>+D97/$H97</f>
        <v>#REF!</v>
      </c>
      <c r="E98" s="26" t="e">
        <f>+E97/$H97</f>
        <v>#REF!</v>
      </c>
      <c r="F98" s="26" t="e">
        <f>+F97/$H97</f>
        <v>#REF!</v>
      </c>
      <c r="G98" s="26"/>
      <c r="H98" s="61"/>
      <c r="J98" s="759"/>
    </row>
    <row r="99" spans="1:10" s="4" customFormat="1">
      <c r="A99" s="62" t="s">
        <v>671</v>
      </c>
      <c r="B99" s="31" t="e">
        <f t="shared" ref="B99:G99" si="2">+B98*$B94</f>
        <v>#REF!</v>
      </c>
      <c r="C99" s="31" t="e">
        <f t="shared" si="2"/>
        <v>#REF!</v>
      </c>
      <c r="D99" s="31" t="e">
        <f t="shared" si="2"/>
        <v>#REF!</v>
      </c>
      <c r="E99" s="31" t="e">
        <f t="shared" si="2"/>
        <v>#REF!</v>
      </c>
      <c r="F99" s="31" t="e">
        <f t="shared" si="2"/>
        <v>#REF!</v>
      </c>
      <c r="G99" s="31" t="e">
        <f t="shared" si="2"/>
        <v>#REF!</v>
      </c>
      <c r="H99" s="32" t="e">
        <f>SUM(B99:G99)</f>
        <v>#REF!</v>
      </c>
      <c r="J99" s="759"/>
    </row>
    <row r="100" spans="1:10" s="4" customFormat="1">
      <c r="A100" s="25"/>
      <c r="B100" s="28"/>
      <c r="C100" s="28"/>
      <c r="D100" s="28"/>
      <c r="E100" s="28"/>
      <c r="F100" s="28"/>
      <c r="G100" s="28"/>
      <c r="H100" s="29"/>
      <c r="J100" s="759"/>
    </row>
    <row r="102" spans="1:10" s="4" customFormat="1">
      <c r="A102" s="759" t="s">
        <v>672</v>
      </c>
      <c r="B102" s="759"/>
      <c r="C102" s="759"/>
      <c r="D102" s="759"/>
      <c r="E102" s="759"/>
      <c r="F102" s="759"/>
      <c r="G102" s="759"/>
      <c r="H102" s="759"/>
      <c r="J102" s="759"/>
    </row>
    <row r="103" spans="1:10" s="4" customFormat="1">
      <c r="A103" s="7" t="s">
        <v>937</v>
      </c>
      <c r="B103" s="759"/>
      <c r="C103" s="759"/>
      <c r="D103" s="759"/>
      <c r="E103" s="759"/>
      <c r="F103" s="759"/>
      <c r="G103" s="759"/>
      <c r="H103" s="759"/>
      <c r="J103" s="759"/>
    </row>
    <row r="104" spans="1:10" s="4" customFormat="1">
      <c r="A104" s="8"/>
      <c r="B104" s="9" t="s">
        <v>619</v>
      </c>
      <c r="C104" s="9" t="s">
        <v>620</v>
      </c>
      <c r="D104" s="9" t="s">
        <v>621</v>
      </c>
      <c r="E104" s="10" t="s">
        <v>622</v>
      </c>
      <c r="F104" s="10" t="s">
        <v>623</v>
      </c>
      <c r="G104" s="10" t="s">
        <v>624</v>
      </c>
      <c r="H104" s="11" t="s">
        <v>625</v>
      </c>
      <c r="J104" s="759"/>
    </row>
    <row r="105" spans="1:10" s="4" customFormat="1">
      <c r="A105" s="248" t="s">
        <v>930</v>
      </c>
      <c r="B105" s="13" t="e">
        <f t="shared" ref="B105:G105" si="3">+B9</f>
        <v>#REF!</v>
      </c>
      <c r="C105" s="13" t="e">
        <f t="shared" si="3"/>
        <v>#REF!</v>
      </c>
      <c r="D105" s="13" t="e">
        <f t="shared" si="3"/>
        <v>#REF!</v>
      </c>
      <c r="E105" s="13" t="e">
        <f t="shared" si="3"/>
        <v>#REF!</v>
      </c>
      <c r="F105" s="13" t="e">
        <f t="shared" si="3"/>
        <v>#REF!</v>
      </c>
      <c r="G105" s="13" t="e">
        <f t="shared" si="3"/>
        <v>#NAME?</v>
      </c>
      <c r="H105" s="14" t="e">
        <f t="shared" ref="H105:H112" si="4">SUM(B105:G105)</f>
        <v>#REF!</v>
      </c>
      <c r="J105" s="759"/>
    </row>
    <row r="106" spans="1:10" s="4" customFormat="1">
      <c r="A106" s="18" t="s">
        <v>662</v>
      </c>
      <c r="B106" s="58">
        <f t="shared" ref="B106:G106" si="5">+B30</f>
        <v>0</v>
      </c>
      <c r="C106" s="58">
        <f t="shared" si="5"/>
        <v>1300000</v>
      </c>
      <c r="D106" s="58" t="e">
        <f t="shared" si="5"/>
        <v>#REF!</v>
      </c>
      <c r="E106" s="58">
        <f t="shared" si="5"/>
        <v>0</v>
      </c>
      <c r="F106" s="58">
        <f t="shared" si="5"/>
        <v>0</v>
      </c>
      <c r="G106" s="58">
        <f t="shared" si="5"/>
        <v>0</v>
      </c>
      <c r="H106" s="49" t="e">
        <f t="shared" si="4"/>
        <v>#REF!</v>
      </c>
      <c r="J106" s="759"/>
    </row>
    <row r="107" spans="1:10" s="4" customFormat="1">
      <c r="A107" s="18" t="s">
        <v>673</v>
      </c>
      <c r="B107" s="13">
        <f t="shared" ref="B107:G107" si="6">+B36</f>
        <v>0</v>
      </c>
      <c r="C107" s="13">
        <f t="shared" si="6"/>
        <v>0</v>
      </c>
      <c r="D107" s="13">
        <f t="shared" si="6"/>
        <v>0</v>
      </c>
      <c r="E107" s="13">
        <f t="shared" si="6"/>
        <v>0</v>
      </c>
      <c r="F107" s="13">
        <f t="shared" si="6"/>
        <v>0</v>
      </c>
      <c r="G107" s="13" t="e">
        <f t="shared" si="6"/>
        <v>#REF!</v>
      </c>
      <c r="H107" s="49" t="e">
        <f t="shared" si="4"/>
        <v>#REF!</v>
      </c>
      <c r="J107" s="759"/>
    </row>
    <row r="108" spans="1:10" s="4" customFormat="1">
      <c r="A108" s="18" t="s">
        <v>664</v>
      </c>
      <c r="B108" s="13">
        <f t="shared" ref="B108:G108" si="7">+B42</f>
        <v>0</v>
      </c>
      <c r="C108" s="13">
        <f t="shared" si="7"/>
        <v>0</v>
      </c>
      <c r="D108" s="13">
        <f t="shared" si="7"/>
        <v>0</v>
      </c>
      <c r="E108" s="13">
        <f t="shared" si="7"/>
        <v>0</v>
      </c>
      <c r="F108" s="13">
        <f t="shared" si="7"/>
        <v>0</v>
      </c>
      <c r="G108" s="13">
        <f t="shared" si="7"/>
        <v>0</v>
      </c>
      <c r="H108" s="49">
        <f t="shared" si="4"/>
        <v>0</v>
      </c>
      <c r="J108" s="759"/>
    </row>
    <row r="109" spans="1:10" s="4" customFormat="1">
      <c r="A109" s="18" t="s">
        <v>665</v>
      </c>
      <c r="B109" s="58" t="e">
        <f>+B55</f>
        <v>#REF!</v>
      </c>
      <c r="C109" s="58" t="e">
        <f>+C55</f>
        <v>#REF!</v>
      </c>
      <c r="D109" s="58" t="e">
        <f>+D55</f>
        <v>#REF!</v>
      </c>
      <c r="E109" s="58">
        <f>+E53</f>
        <v>0</v>
      </c>
      <c r="F109" s="58">
        <f>+F53</f>
        <v>0</v>
      </c>
      <c r="G109" s="58">
        <f>+G53</f>
        <v>0</v>
      </c>
      <c r="H109" s="49" t="e">
        <f t="shared" si="4"/>
        <v>#REF!</v>
      </c>
      <c r="J109" s="29"/>
    </row>
    <row r="110" spans="1:10" s="4" customFormat="1">
      <c r="A110" s="18" t="s">
        <v>666</v>
      </c>
      <c r="B110" s="13">
        <f>+B60</f>
        <v>0</v>
      </c>
      <c r="C110" s="13">
        <f>+C60</f>
        <v>0</v>
      </c>
      <c r="D110" s="13">
        <f>+D60</f>
        <v>0</v>
      </c>
      <c r="E110" s="13" t="e">
        <f>+E62</f>
        <v>#REF!</v>
      </c>
      <c r="F110" s="13" t="e">
        <f>+F62</f>
        <v>#REF!</v>
      </c>
      <c r="G110" s="13" t="e">
        <f>+G62</f>
        <v>#REF!</v>
      </c>
      <c r="H110" s="49" t="e">
        <f t="shared" si="4"/>
        <v>#REF!</v>
      </c>
      <c r="J110" s="759"/>
    </row>
    <row r="111" spans="1:10" s="4" customFormat="1">
      <c r="A111" s="18" t="s">
        <v>667</v>
      </c>
      <c r="B111" s="13" t="e">
        <f t="shared" ref="B111:G111" si="8">+B73</f>
        <v>#REF!</v>
      </c>
      <c r="C111" s="13" t="e">
        <f t="shared" si="8"/>
        <v>#REF!</v>
      </c>
      <c r="D111" s="13" t="e">
        <f t="shared" si="8"/>
        <v>#REF!</v>
      </c>
      <c r="E111" s="13" t="e">
        <f t="shared" si="8"/>
        <v>#REF!</v>
      </c>
      <c r="F111" s="13" t="e">
        <f t="shared" si="8"/>
        <v>#REF!</v>
      </c>
      <c r="G111" s="13" t="e">
        <f t="shared" si="8"/>
        <v>#REF!</v>
      </c>
      <c r="H111" s="49" t="e">
        <f t="shared" si="4"/>
        <v>#REF!</v>
      </c>
      <c r="J111" s="759"/>
    </row>
    <row r="112" spans="1:10" s="4" customFormat="1">
      <c r="A112" s="18" t="s">
        <v>674</v>
      </c>
      <c r="B112" s="63" t="e">
        <f t="shared" ref="B112:G112" si="9">+B99</f>
        <v>#REF!</v>
      </c>
      <c r="C112" s="63" t="e">
        <f t="shared" si="9"/>
        <v>#REF!</v>
      </c>
      <c r="D112" s="63" t="e">
        <f t="shared" si="9"/>
        <v>#REF!</v>
      </c>
      <c r="E112" s="63" t="e">
        <f t="shared" si="9"/>
        <v>#REF!</v>
      </c>
      <c r="F112" s="63" t="e">
        <f t="shared" si="9"/>
        <v>#REF!</v>
      </c>
      <c r="G112" s="63" t="e">
        <f t="shared" si="9"/>
        <v>#REF!</v>
      </c>
      <c r="H112" s="32" t="e">
        <f t="shared" si="4"/>
        <v>#REF!</v>
      </c>
      <c r="J112" s="759"/>
    </row>
    <row r="113" spans="1:10" s="4" customFormat="1">
      <c r="A113" s="18" t="s">
        <v>675</v>
      </c>
      <c r="B113" s="63" t="e">
        <f t="shared" ref="B113:H113" si="10">SUM(B106:B112)</f>
        <v>#REF!</v>
      </c>
      <c r="C113" s="63" t="e">
        <f t="shared" si="10"/>
        <v>#REF!</v>
      </c>
      <c r="D113" s="63" t="e">
        <f t="shared" si="10"/>
        <v>#REF!</v>
      </c>
      <c r="E113" s="63" t="e">
        <f t="shared" si="10"/>
        <v>#REF!</v>
      </c>
      <c r="F113" s="63" t="e">
        <f t="shared" si="10"/>
        <v>#REF!</v>
      </c>
      <c r="G113" s="63" t="e">
        <f t="shared" si="10"/>
        <v>#REF!</v>
      </c>
      <c r="H113" s="32" t="e">
        <f t="shared" si="10"/>
        <v>#REF!</v>
      </c>
      <c r="J113" s="759"/>
    </row>
    <row r="114" spans="1:10" s="4" customFormat="1">
      <c r="A114" s="8"/>
      <c r="B114" s="9" t="s">
        <v>619</v>
      </c>
      <c r="C114" s="9" t="s">
        <v>620</v>
      </c>
      <c r="D114" s="9" t="s">
        <v>621</v>
      </c>
      <c r="E114" s="10" t="s">
        <v>622</v>
      </c>
      <c r="F114" s="10" t="s">
        <v>623</v>
      </c>
      <c r="G114" s="10" t="s">
        <v>624</v>
      </c>
      <c r="H114" s="11" t="s">
        <v>625</v>
      </c>
      <c r="J114" s="759"/>
    </row>
    <row r="115" spans="1:10" s="4" customFormat="1">
      <c r="A115" s="254" t="s">
        <v>938</v>
      </c>
      <c r="B115" s="64" t="e">
        <f>+B113+B105</f>
        <v>#REF!</v>
      </c>
      <c r="C115" s="64" t="e">
        <f>+C113+C105</f>
        <v>#REF!</v>
      </c>
      <c r="D115" s="64" t="e">
        <f>+D113+D105</f>
        <v>#REF!</v>
      </c>
      <c r="E115" s="64" t="e">
        <f>+E113+E105</f>
        <v>#REF!</v>
      </c>
      <c r="F115" s="64" t="e">
        <f>+F113+F105</f>
        <v>#REF!</v>
      </c>
      <c r="G115" s="64" t="e">
        <f>+G113+G105-0.5</f>
        <v>#REF!</v>
      </c>
      <c r="H115" s="53" t="e">
        <f>+H113+H105</f>
        <v>#REF!</v>
      </c>
      <c r="J115" s="759"/>
    </row>
    <row r="116" spans="1:10" s="4" customFormat="1">
      <c r="A116" s="759"/>
      <c r="B116" s="759"/>
      <c r="C116" s="759"/>
      <c r="D116" s="759"/>
      <c r="E116" s="759"/>
      <c r="F116" s="759"/>
      <c r="G116" s="759"/>
      <c r="H116" s="29"/>
      <c r="J116" s="759"/>
    </row>
    <row r="117" spans="1:10" s="4" customFormat="1">
      <c r="A117" s="314" t="s">
        <v>957</v>
      </c>
      <c r="B117" s="28" t="e">
        <f>+B98*'Rev-Exp Plan (2)'!$AA11</f>
        <v>#REF!</v>
      </c>
      <c r="C117" s="28" t="e">
        <f>+C98*'Rev-Exp Plan (2)'!$AA11</f>
        <v>#REF!</v>
      </c>
      <c r="D117" s="28" t="e">
        <f>+D98*'Rev-Exp Plan (2)'!$AA11</f>
        <v>#REF!</v>
      </c>
      <c r="E117" s="28" t="e">
        <f>+E98*'Rev-Exp Plan (2)'!$AA11</f>
        <v>#REF!</v>
      </c>
      <c r="F117" s="28" t="e">
        <f>+F98*'Rev-Exp Plan (2)'!$AA11</f>
        <v>#REF!</v>
      </c>
      <c r="G117" s="792"/>
      <c r="H117" s="29" t="e">
        <f>SUM(B117:F117)</f>
        <v>#REF!</v>
      </c>
      <c r="J117" s="759"/>
    </row>
    <row r="118" spans="1:10" s="4" customFormat="1">
      <c r="A118" s="792"/>
      <c r="B118" s="792"/>
      <c r="C118" s="792"/>
      <c r="D118" s="792"/>
      <c r="E118" s="792"/>
      <c r="F118" s="792"/>
      <c r="G118" s="792"/>
      <c r="H118" s="29"/>
      <c r="J118" s="759"/>
    </row>
    <row r="119" spans="1:10" s="4" customFormat="1">
      <c r="A119" s="314" t="s">
        <v>958</v>
      </c>
      <c r="B119" s="13" t="e">
        <f t="shared" ref="B119:H119" si="11">+B117+B115</f>
        <v>#REF!</v>
      </c>
      <c r="C119" s="13" t="e">
        <f t="shared" si="11"/>
        <v>#REF!</v>
      </c>
      <c r="D119" s="13" t="e">
        <f t="shared" si="11"/>
        <v>#REF!</v>
      </c>
      <c r="E119" s="13" t="e">
        <f t="shared" si="11"/>
        <v>#REF!</v>
      </c>
      <c r="F119" s="13" t="e">
        <f t="shared" si="11"/>
        <v>#REF!</v>
      </c>
      <c r="G119" s="13" t="e">
        <f t="shared" si="11"/>
        <v>#REF!</v>
      </c>
      <c r="H119" s="13" t="e">
        <f t="shared" si="11"/>
        <v>#REF!</v>
      </c>
      <c r="J119" s="759"/>
    </row>
    <row r="120" spans="1:10">
      <c r="A120" s="314" t="s">
        <v>966</v>
      </c>
      <c r="B120" s="13" t="e">
        <f>+'[14]Resource Alloc 15-16'!B$118</f>
        <v>#REF!</v>
      </c>
      <c r="C120" s="13" t="e">
        <f>+'[14]Resource Alloc 15-16'!C$118</f>
        <v>#REF!</v>
      </c>
      <c r="D120" s="13" t="e">
        <f>+'[14]Resource Alloc 15-16'!D$118</f>
        <v>#REF!</v>
      </c>
      <c r="E120" s="13" t="e">
        <f>+'[14]Resource Alloc 15-16'!E$118</f>
        <v>#REF!</v>
      </c>
      <c r="F120" s="13" t="e">
        <f>+'[14]Resource Alloc 15-16'!F$118</f>
        <v>#REF!</v>
      </c>
      <c r="G120" s="13" t="e">
        <f>+'[14]Resource Alloc 15-16'!G$118</f>
        <v>#REF!</v>
      </c>
      <c r="H120" s="13" t="e">
        <f>SUM(B120:G120)</f>
        <v>#REF!</v>
      </c>
    </row>
    <row r="121" spans="1:10">
      <c r="A121" s="314" t="s">
        <v>352</v>
      </c>
      <c r="B121" s="13" t="e">
        <f>+B119-B120</f>
        <v>#REF!</v>
      </c>
      <c r="C121" s="13" t="e">
        <f t="shared" ref="C121:H121" si="12">+C119-C120</f>
        <v>#REF!</v>
      </c>
      <c r="D121" s="13" t="e">
        <f t="shared" si="12"/>
        <v>#REF!</v>
      </c>
      <c r="E121" s="13" t="e">
        <f t="shared" si="12"/>
        <v>#REF!</v>
      </c>
      <c r="F121" s="13" t="e">
        <f t="shared" si="12"/>
        <v>#REF!</v>
      </c>
      <c r="G121" s="13" t="e">
        <f t="shared" si="12"/>
        <v>#REF!</v>
      </c>
      <c r="H121" s="13" t="e">
        <f t="shared" si="12"/>
        <v>#REF!</v>
      </c>
    </row>
    <row r="122" spans="1:10">
      <c r="A122" s="314"/>
      <c r="B122" s="65"/>
      <c r="C122" s="13"/>
      <c r="F122" s="20"/>
      <c r="G122" s="20"/>
      <c r="H122" s="29"/>
    </row>
    <row r="123" spans="1:10">
      <c r="F123" s="20"/>
      <c r="G123" s="58"/>
      <c r="H123" s="29"/>
    </row>
    <row r="124" spans="1:10">
      <c r="A124" s="66" t="s">
        <v>677</v>
      </c>
      <c r="C124" s="67">
        <f>+'Sq Ft'!B255</f>
        <v>1620579</v>
      </c>
      <c r="F124" s="20"/>
      <c r="G124" s="58"/>
    </row>
    <row r="125" spans="1:10">
      <c r="A125" s="759" t="s">
        <v>679</v>
      </c>
      <c r="C125" s="68" t="e">
        <f>+(F105/C124)/2</f>
        <v>#REF!</v>
      </c>
      <c r="F125" s="20"/>
      <c r="G125" s="58"/>
    </row>
    <row r="126" spans="1:10">
      <c r="A126" s="759" t="s">
        <v>680</v>
      </c>
      <c r="C126" s="69" t="e">
        <f>+F9/SUM($B9:$D9)/2</f>
        <v>#REF!</v>
      </c>
      <c r="H126" s="29"/>
    </row>
    <row r="127" spans="1:10">
      <c r="A127" s="759" t="s">
        <v>681</v>
      </c>
      <c r="C127" s="69" t="e">
        <f>+E9/SUM($B9:$D9)</f>
        <v>#REF!</v>
      </c>
    </row>
  </sheetData>
  <pageMargins left="0.75" right="0.75" top="1" bottom="1" header="0.5" footer="0.5"/>
  <pageSetup orientation="landscape" r:id="rId1"/>
  <headerFooter alignWithMargins="0">
    <oddHeader>&amp;CPrelim Budget 15/16</oddHeader>
  </headerFooter>
  <rowBreaks count="3" manualBreakCount="3">
    <brk id="38" max="8" man="1"/>
    <brk id="75" max="8" man="1"/>
    <brk id="101" max="8"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31"/>
  <sheetViews>
    <sheetView workbookViewId="0"/>
  </sheetViews>
  <sheetFormatPr defaultColWidth="9.28515625" defaultRowHeight="12.75"/>
  <cols>
    <col min="1" max="1" width="19.42578125" style="623" customWidth="1"/>
    <col min="2" max="5" width="13.42578125" style="623" customWidth="1"/>
    <col min="6" max="6" width="13.42578125" style="623" bestFit="1" customWidth="1"/>
    <col min="7" max="8" width="15" style="623" bestFit="1" customWidth="1"/>
    <col min="9" max="9" width="7" style="4" bestFit="1" customWidth="1"/>
    <col min="10" max="10" width="22.42578125" style="623" bestFit="1" customWidth="1"/>
    <col min="11" max="16384" width="9.28515625" style="623"/>
  </cols>
  <sheetData>
    <row r="1" spans="1:9">
      <c r="A1" s="1" t="s">
        <v>820</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29</v>
      </c>
      <c r="B9" s="13" t="e">
        <f>+'Resource Alloc 13-14'!B114</f>
        <v>#REF!</v>
      </c>
      <c r="C9" s="13" t="e">
        <f>+'Resource Alloc 13-14'!C114</f>
        <v>#REF!</v>
      </c>
      <c r="D9" s="13" t="e">
        <f>+'Resource Alloc 13-14'!D114</f>
        <v>#REF!</v>
      </c>
      <c r="E9" s="13" t="e">
        <f>+'Resource Alloc 13-14'!E114</f>
        <v>#REF!</v>
      </c>
      <c r="F9" s="13" t="e">
        <f>+'Resource Alloc 13-14'!F114</f>
        <v>#REF!</v>
      </c>
      <c r="G9" s="13" t="e">
        <f>+'Resource Alloc 13-14'!G114</f>
        <v>#NAME?</v>
      </c>
      <c r="H9" s="14" t="e">
        <f>SUM(B9:G9)</f>
        <v>#REF!</v>
      </c>
      <c r="I9" s="4" t="s">
        <v>626</v>
      </c>
    </row>
    <row r="10" spans="1:9">
      <c r="A10" s="20"/>
      <c r="B10" s="65" t="e">
        <f>+B9/SUM($B9:$D9)</f>
        <v>#REF!</v>
      </c>
      <c r="C10" s="65" t="e">
        <f>+C9/SUM($B9:$D9)</f>
        <v>#REF!</v>
      </c>
      <c r="D10" s="65" t="e">
        <f>+D9/SUM($B9:$D9)</f>
        <v>#REF!</v>
      </c>
      <c r="E10" s="20"/>
      <c r="F10" s="20"/>
      <c r="G10" s="20"/>
      <c r="H10" s="20"/>
    </row>
    <row r="11" spans="1:9">
      <c r="A11" s="255" t="s">
        <v>23</v>
      </c>
      <c r="B11" s="15">
        <f>+Revenues!E101</f>
        <v>7826.69</v>
      </c>
      <c r="C11" s="15">
        <f>+Revenues!C101</f>
        <v>4206.88</v>
      </c>
      <c r="D11" s="15">
        <f>+Revenues!D101</f>
        <v>7038.5809523809521</v>
      </c>
      <c r="E11" s="16"/>
      <c r="F11" s="16"/>
      <c r="G11" s="16"/>
      <c r="H11" s="17">
        <f>SUM(B11:G11)</f>
        <v>19072.150952380951</v>
      </c>
    </row>
    <row r="12" spans="1:9">
      <c r="A12" s="248" t="s">
        <v>240</v>
      </c>
      <c r="B12" s="19">
        <f>+Revenues!E88</f>
        <v>8144.29</v>
      </c>
      <c r="C12" s="19">
        <f>+Revenues!C88</f>
        <v>4368.04</v>
      </c>
      <c r="D12" s="19">
        <f>+Revenues!D88</f>
        <v>7659.83</v>
      </c>
      <c r="E12" s="20"/>
      <c r="F12" s="20"/>
      <c r="G12" s="20"/>
      <c r="H12" s="21">
        <f>SUM(B12:G12)</f>
        <v>20172.16</v>
      </c>
    </row>
    <row r="13" spans="1:9">
      <c r="A13" s="248" t="s">
        <v>288</v>
      </c>
      <c r="B13" s="19">
        <f>+Revenues!E77</f>
        <v>8103.79</v>
      </c>
      <c r="C13" s="19">
        <f>+Revenues!C77</f>
        <v>4366.37</v>
      </c>
      <c r="D13" s="19">
        <f>+Revenues!D77</f>
        <v>7530.85</v>
      </c>
      <c r="E13" s="20"/>
      <c r="F13" s="20"/>
      <c r="G13" s="20"/>
      <c r="H13" s="21">
        <f>SUM(B13:G13)</f>
        <v>20001.010000000002</v>
      </c>
    </row>
    <row r="14" spans="1:9" s="662" customFormat="1">
      <c r="A14" s="248" t="str">
        <f>+'Resource Alloc 13-14'!A13</f>
        <v>10/11 FTES</v>
      </c>
      <c r="B14" s="663">
        <f>+'Resource Alloc 13-14'!B13</f>
        <v>8252.7565523430494</v>
      </c>
      <c r="C14" s="663">
        <f>+'Resource Alloc 13-14'!C13</f>
        <v>4763.420000000001</v>
      </c>
      <c r="D14" s="663">
        <f>+'Resource Alloc 13-14'!D13</f>
        <v>8265.3352733028987</v>
      </c>
      <c r="E14" s="20"/>
      <c r="F14" s="20"/>
      <c r="G14" s="20"/>
      <c r="H14" s="21"/>
      <c r="I14" s="4"/>
    </row>
    <row r="15" spans="1:9" s="662" customFormat="1">
      <c r="A15" s="248" t="str">
        <f>+'Resource Alloc 13-14'!A14</f>
        <v>09/10 FTES</v>
      </c>
      <c r="B15" s="663">
        <f>+'Resource Alloc 13-14'!B14</f>
        <v>8513.940089362497</v>
      </c>
      <c r="C15" s="663">
        <f>+'Resource Alloc 13-14'!C14</f>
        <v>4639.2721703306916</v>
      </c>
      <c r="D15" s="663">
        <f>+'Resource Alloc 13-14'!D14</f>
        <v>7920.9452163737342</v>
      </c>
      <c r="E15" s="20"/>
      <c r="F15" s="20"/>
      <c r="G15" s="20"/>
      <c r="H15" s="21"/>
      <c r="I15" s="4"/>
    </row>
    <row r="16" spans="1:9">
      <c r="A16" s="254" t="s">
        <v>888</v>
      </c>
      <c r="B16" s="22">
        <f>AVERAGE(B11:B15)</f>
        <v>8168.2933283411094</v>
      </c>
      <c r="C16" s="22">
        <f>AVERAGE(C11:C15)</f>
        <v>4468.7964340661392</v>
      </c>
      <c r="D16" s="22">
        <f>AVERAGE(D11:D15)</f>
        <v>7683.1082884115167</v>
      </c>
      <c r="E16" s="23"/>
      <c r="F16" s="23"/>
      <c r="G16" s="23"/>
      <c r="H16" s="24">
        <f>SUM(B16:D16)</f>
        <v>20320.198050818766</v>
      </c>
      <c r="I16" s="4" t="s">
        <v>630</v>
      </c>
    </row>
    <row r="17" spans="1:10">
      <c r="A17" s="25" t="s">
        <v>631</v>
      </c>
      <c r="B17" s="65">
        <f>+B16/$H16</f>
        <v>0.40197902145997944</v>
      </c>
      <c r="C17" s="65">
        <f>+C16/$H16</f>
        <v>0.21991894089270833</v>
      </c>
      <c r="D17" s="65">
        <f>+D16/$H16</f>
        <v>0.37810203764731221</v>
      </c>
      <c r="E17" s="20"/>
      <c r="F17" s="20"/>
      <c r="G17" s="20"/>
      <c r="H17" s="19"/>
    </row>
    <row r="18" spans="1:10">
      <c r="A18" s="25"/>
      <c r="B18" s="26"/>
      <c r="C18" s="26"/>
      <c r="D18" s="26"/>
      <c r="E18" s="20"/>
      <c r="F18" s="20"/>
      <c r="G18" s="20"/>
      <c r="H18" s="19"/>
    </row>
    <row r="19" spans="1:10" s="4" customFormat="1">
      <c r="A19" s="27" t="s">
        <v>632</v>
      </c>
      <c r="B19" s="623"/>
      <c r="C19" s="623"/>
      <c r="D19" s="623"/>
      <c r="E19" s="623"/>
      <c r="F19" s="623"/>
      <c r="G19" s="623"/>
      <c r="H19" s="623"/>
      <c r="J19" s="623"/>
    </row>
    <row r="20" spans="1:10" s="4" customFormat="1">
      <c r="A20" s="20" t="s">
        <v>633</v>
      </c>
      <c r="B20" s="28" t="e">
        <f>0.8*B9</f>
        <v>#REF!</v>
      </c>
      <c r="C20" s="28" t="e">
        <f>0.8*C9</f>
        <v>#REF!</v>
      </c>
      <c r="D20" s="28" t="e">
        <f>0.8*D9</f>
        <v>#REF!</v>
      </c>
      <c r="E20" s="623"/>
      <c r="F20" s="623"/>
      <c r="G20" s="623"/>
      <c r="H20" s="28" t="e">
        <f>SUM(B20:G20)</f>
        <v>#REF!</v>
      </c>
      <c r="J20" s="623"/>
    </row>
    <row r="21" spans="1:10" s="4" customFormat="1">
      <c r="A21" s="20"/>
      <c r="B21" s="623"/>
      <c r="C21" s="623"/>
      <c r="D21" s="623"/>
      <c r="E21" s="623"/>
      <c r="F21" s="623"/>
      <c r="G21" s="623"/>
      <c r="H21" s="623"/>
      <c r="J21" s="623"/>
    </row>
    <row r="22" spans="1:10" s="4" customFormat="1">
      <c r="A22" s="27" t="s">
        <v>634</v>
      </c>
      <c r="B22" s="623"/>
      <c r="C22" s="623"/>
      <c r="D22" s="623"/>
      <c r="E22" s="623"/>
      <c r="F22" s="623"/>
      <c r="G22" s="623"/>
      <c r="H22" s="623"/>
      <c r="J22" s="623"/>
    </row>
    <row r="23" spans="1:10" s="4" customFormat="1">
      <c r="A23" s="20" t="s">
        <v>635</v>
      </c>
      <c r="B23" s="28" t="e">
        <f>+SUM($B9:$D9,-$H20)/$H16*B16</f>
        <v>#REF!</v>
      </c>
      <c r="C23" s="28" t="e">
        <f>+SUM($B9:$D9,-$H20)/$H16*C16</f>
        <v>#REF!</v>
      </c>
      <c r="D23" s="28" t="e">
        <f>+SUM($B9:$D9,-$H20)/$H16*D16</f>
        <v>#REF!</v>
      </c>
      <c r="E23" s="623"/>
      <c r="F23" s="623"/>
      <c r="G23" s="623"/>
      <c r="H23" s="28" t="e">
        <f>SUM(B23:G23)</f>
        <v>#REF!</v>
      </c>
      <c r="J23" s="623"/>
    </row>
    <row r="24" spans="1:10" s="4" customFormat="1">
      <c r="A24" s="20"/>
      <c r="B24" s="623"/>
      <c r="C24" s="623"/>
      <c r="D24" s="623"/>
      <c r="E24" s="623"/>
      <c r="F24" s="623"/>
      <c r="G24" s="623"/>
      <c r="H24" s="623"/>
      <c r="J24" s="623"/>
    </row>
    <row r="25" spans="1:10" s="4" customFormat="1">
      <c r="A25" s="27" t="s">
        <v>942</v>
      </c>
      <c r="B25" s="623"/>
      <c r="C25" s="623"/>
      <c r="D25" s="623"/>
      <c r="E25" s="623"/>
      <c r="F25" s="623"/>
      <c r="G25" s="623"/>
      <c r="H25" s="623"/>
      <c r="J25" s="623"/>
    </row>
    <row r="26" spans="1:10" s="4" customFormat="1">
      <c r="A26" s="20" t="s">
        <v>625</v>
      </c>
      <c r="B26" s="29" t="e">
        <f>+B23+B20</f>
        <v>#REF!</v>
      </c>
      <c r="C26" s="29" t="e">
        <f>+C23+C20</f>
        <v>#REF!</v>
      </c>
      <c r="D26" s="29" t="e">
        <f>+D23+D20</f>
        <v>#REF!</v>
      </c>
      <c r="E26" s="623"/>
      <c r="F26" s="623"/>
      <c r="G26" s="623"/>
      <c r="H26" s="28" t="e">
        <f>SUM(B26:G26)</f>
        <v>#REF!</v>
      </c>
      <c r="J26" s="623"/>
    </row>
    <row r="27" spans="1:10" s="4" customFormat="1">
      <c r="A27" s="25" t="s">
        <v>636</v>
      </c>
      <c r="B27" s="29" t="e">
        <f>+B26-B9</f>
        <v>#REF!</v>
      </c>
      <c r="C27" s="29" t="e">
        <f>+C26-C9</f>
        <v>#REF!</v>
      </c>
      <c r="D27" s="29" t="e">
        <f>+D26-D9</f>
        <v>#REF!</v>
      </c>
      <c r="E27" s="623"/>
      <c r="F27" s="623"/>
      <c r="G27" s="623"/>
      <c r="H27" s="28" t="e">
        <f>SUM(B27:G27)</f>
        <v>#REF!</v>
      </c>
      <c r="J27" s="623"/>
    </row>
    <row r="28" spans="1:10" s="4" customFormat="1">
      <c r="A28" s="25"/>
      <c r="B28" s="623"/>
      <c r="C28" s="623"/>
      <c r="D28" s="623"/>
      <c r="E28" s="623"/>
      <c r="F28" s="623"/>
      <c r="G28" s="623"/>
      <c r="H28" s="623"/>
      <c r="J28" s="623"/>
    </row>
    <row r="29" spans="1:10" s="4" customFormat="1">
      <c r="A29" s="30" t="s">
        <v>637</v>
      </c>
      <c r="B29" s="623"/>
      <c r="C29" s="623"/>
      <c r="D29" s="623"/>
      <c r="E29" s="623"/>
      <c r="F29" s="623"/>
      <c r="G29" s="623"/>
      <c r="H29" s="623"/>
      <c r="J29" s="623"/>
    </row>
    <row r="30" spans="1:10" s="4" customFormat="1">
      <c r="A30" s="25" t="s">
        <v>638</v>
      </c>
      <c r="B30" s="29" t="e">
        <f>MAX(B27,0)</f>
        <v>#REF!</v>
      </c>
      <c r="C30" s="29" t="e">
        <f>MAX(C27,0)</f>
        <v>#REF!</v>
      </c>
      <c r="D30" s="29" t="e">
        <f>MAX(D27,0)</f>
        <v>#REF!</v>
      </c>
      <c r="E30" s="623"/>
      <c r="F30" s="623"/>
      <c r="G30" s="623"/>
      <c r="H30" s="28" t="e">
        <f>SUM(B30:G30)</f>
        <v>#REF!</v>
      </c>
      <c r="J30" s="623"/>
    </row>
    <row r="31" spans="1:10" s="4" customFormat="1">
      <c r="A31" s="25"/>
      <c r="B31" s="29"/>
      <c r="C31" s="29"/>
      <c r="D31" s="29"/>
      <c r="E31" s="623"/>
      <c r="F31" s="623"/>
      <c r="G31" s="623"/>
      <c r="H31" s="28"/>
      <c r="J31" s="623"/>
    </row>
    <row r="33" spans="1:10" s="4" customFormat="1">
      <c r="A33" s="6" t="s">
        <v>639</v>
      </c>
      <c r="B33" s="623"/>
      <c r="C33" s="623"/>
      <c r="D33" s="623"/>
      <c r="E33" s="623"/>
      <c r="F33" s="623"/>
      <c r="G33" s="623"/>
      <c r="H33" s="623"/>
      <c r="J33" s="623"/>
    </row>
    <row r="34" spans="1:10" s="4" customFormat="1">
      <c r="A34" s="7" t="s">
        <v>939</v>
      </c>
      <c r="B34" s="623"/>
      <c r="C34" s="623"/>
      <c r="D34" s="623"/>
      <c r="E34" s="623"/>
      <c r="F34" s="623"/>
      <c r="G34" s="623"/>
      <c r="H34" s="623"/>
      <c r="J34" s="623"/>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 (2)'!Z34:Z51)-SUM('Rev-Exp Plan (2)'!Y34:Y51)-'Resource Alloc 14-15'!G61-'Resource Alloc 14-15'!G70</f>
        <v>#NAME?</v>
      </c>
      <c r="H36" s="32" t="e">
        <f>SUM(G36)</f>
        <v>#NAME?</v>
      </c>
      <c r="I36" s="4" t="s">
        <v>641</v>
      </c>
    </row>
    <row r="37" spans="1:10">
      <c r="A37" s="16"/>
      <c r="G37" s="28"/>
      <c r="H37" s="29"/>
    </row>
    <row r="38" spans="1:10">
      <c r="A38" s="256" t="s">
        <v>936</v>
      </c>
    </row>
    <row r="39" spans="1:10">
      <c r="A39" s="33" t="s">
        <v>940</v>
      </c>
    </row>
    <row r="40" spans="1:10">
      <c r="A40" s="8"/>
      <c r="B40" s="9" t="s">
        <v>619</v>
      </c>
      <c r="C40" s="9" t="s">
        <v>620</v>
      </c>
      <c r="D40" s="9" t="s">
        <v>621</v>
      </c>
      <c r="E40" s="10" t="s">
        <v>622</v>
      </c>
      <c r="F40" s="10" t="s">
        <v>623</v>
      </c>
      <c r="G40" s="10" t="s">
        <v>624</v>
      </c>
      <c r="H40" s="11" t="s">
        <v>625</v>
      </c>
    </row>
    <row r="41" spans="1:10">
      <c r="A41" s="12"/>
      <c r="B41" s="22"/>
      <c r="C41" s="22"/>
      <c r="D41" s="22"/>
      <c r="E41" s="23"/>
      <c r="F41" s="335">
        <f>0</f>
        <v>0</v>
      </c>
      <c r="G41" s="23"/>
      <c r="H41" s="32">
        <f>SUM(F41:G41)</f>
        <v>0</v>
      </c>
      <c r="J41" s="71" t="s">
        <v>22</v>
      </c>
    </row>
    <row r="42" spans="1:10">
      <c r="A42" s="20"/>
      <c r="B42" s="19"/>
      <c r="C42" s="19"/>
      <c r="D42" s="19"/>
      <c r="F42" s="28"/>
      <c r="H42" s="29"/>
    </row>
    <row r="43" spans="1:10">
      <c r="A43" s="20"/>
      <c r="B43" s="19"/>
      <c r="C43" s="19"/>
      <c r="D43" s="19"/>
    </row>
    <row r="44" spans="1:10">
      <c r="A44" s="256" t="s">
        <v>1089</v>
      </c>
    </row>
    <row r="45" spans="1:10">
      <c r="A45" s="7" t="s">
        <v>825</v>
      </c>
      <c r="D45" s="7"/>
      <c r="J45" s="34"/>
    </row>
    <row r="46" spans="1:10">
      <c r="A46" s="8"/>
      <c r="B46" s="9" t="s">
        <v>619</v>
      </c>
      <c r="C46" s="9" t="s">
        <v>620</v>
      </c>
      <c r="D46" s="9" t="s">
        <v>621</v>
      </c>
      <c r="E46" s="10" t="s">
        <v>622</v>
      </c>
      <c r="F46" s="10" t="s">
        <v>623</v>
      </c>
      <c r="G46" s="10" t="s">
        <v>624</v>
      </c>
      <c r="H46" s="11" t="s">
        <v>625</v>
      </c>
    </row>
    <row r="47" spans="1:10">
      <c r="A47" s="248" t="s">
        <v>826</v>
      </c>
      <c r="B47" s="19">
        <f>+Revenues!E114</f>
        <v>7851.5</v>
      </c>
      <c r="C47" s="19">
        <f>+Revenues!C114</f>
        <v>4051</v>
      </c>
      <c r="D47" s="19">
        <f>+Revenues!D114</f>
        <v>6704</v>
      </c>
      <c r="E47" s="20"/>
      <c r="F47" s="20"/>
      <c r="G47" s="19"/>
      <c r="H47" s="35">
        <f>SUM(B47:G47)</f>
        <v>18606.5</v>
      </c>
    </row>
    <row r="48" spans="1:10">
      <c r="A48" s="248" t="s">
        <v>889</v>
      </c>
      <c r="B48" s="36">
        <f>AVERAGE(B47,B11,B12,B13,B14)</f>
        <v>8035.8053104686096</v>
      </c>
      <c r="C48" s="36">
        <f>AVERAGE(C47,C11,C12,C13,C14)</f>
        <v>4351.1420000000007</v>
      </c>
      <c r="D48" s="36">
        <f>AVERAGE(D47,D11,D12,D13,D14)</f>
        <v>7439.719245136771</v>
      </c>
      <c r="E48" s="20"/>
      <c r="F48" s="20"/>
      <c r="G48" s="20">
        <f>+G47/3</f>
        <v>0</v>
      </c>
      <c r="H48" s="35">
        <f>SUM(B48:G48)</f>
        <v>19826.666555605381</v>
      </c>
    </row>
    <row r="49" spans="1:10">
      <c r="A49" s="254" t="s">
        <v>890</v>
      </c>
      <c r="B49" s="37">
        <f>+B48-(B16)</f>
        <v>-132.48801787249977</v>
      </c>
      <c r="C49" s="37">
        <f>+C48-(C16)</f>
        <v>-117.65443406613849</v>
      </c>
      <c r="D49" s="37">
        <f>+D48-(D16)</f>
        <v>-243.38904327474575</v>
      </c>
      <c r="E49" s="23"/>
      <c r="F49" s="23"/>
      <c r="G49" s="23">
        <f>+G48</f>
        <v>0</v>
      </c>
      <c r="H49" s="38">
        <f>SUM(B49:G49)</f>
        <v>-493.53149521338401</v>
      </c>
      <c r="J49" s="39"/>
    </row>
    <row r="50" spans="1:10">
      <c r="A50" s="7" t="s">
        <v>992</v>
      </c>
    </row>
    <row r="51" spans="1:10">
      <c r="A51" s="7"/>
      <c r="H51" s="488" t="e">
        <f>+ROUND((4366*H49-F41)/(1+C124+C123)/H49,)</f>
        <v>#REF!</v>
      </c>
    </row>
    <row r="52" spans="1:10">
      <c r="A52" s="8" t="s">
        <v>646</v>
      </c>
      <c r="B52" s="40">
        <f>3788*B49</f>
        <v>-501864.61170102912</v>
      </c>
      <c r="C52" s="40">
        <f>3788*C49</f>
        <v>-445674.99624253262</v>
      </c>
      <c r="D52" s="40">
        <f>3788*D49</f>
        <v>-921957.69592473691</v>
      </c>
      <c r="E52" s="16"/>
      <c r="F52" s="16"/>
      <c r="G52" s="40">
        <f>3600*G49</f>
        <v>0</v>
      </c>
      <c r="H52" s="41">
        <f>SUM(B52:G52)</f>
        <v>-1869497.3038682987</v>
      </c>
      <c r="J52" s="623">
        <f>3729*(1+Assumptions!I93)</f>
        <v>3787.5453000000002</v>
      </c>
    </row>
    <row r="53" spans="1:10" s="759" customFormat="1">
      <c r="A53" s="254" t="s">
        <v>914</v>
      </c>
      <c r="B53" s="31" t="e">
        <f>+'[11]14-15'!$D$13-'[11]13-14'!$D$13</f>
        <v>#REF!</v>
      </c>
      <c r="C53" s="31" t="e">
        <f>+'[11]14-15'!$B$13-'[11]13-14'!$B$13</f>
        <v>#REF!</v>
      </c>
      <c r="D53" s="31" t="e">
        <f>+'[11]14-15'!$C$13-'[11]13-14'!$C$13</f>
        <v>#REF!</v>
      </c>
      <c r="E53" s="23"/>
      <c r="F53" s="23"/>
      <c r="G53" s="31"/>
      <c r="H53" s="32" t="e">
        <f>SUM(B53:G53)</f>
        <v>#REF!</v>
      </c>
      <c r="I53" s="4"/>
    </row>
    <row r="54" spans="1:10" s="759" customFormat="1">
      <c r="A54" s="254" t="s">
        <v>625</v>
      </c>
      <c r="B54" s="31" t="e">
        <f>SUM(B52:B53)</f>
        <v>#REF!</v>
      </c>
      <c r="C54" s="31" t="e">
        <f>SUM(C52:C53)</f>
        <v>#REF!</v>
      </c>
      <c r="D54" s="31" t="e">
        <f>SUM(D52:D53)</f>
        <v>#REF!</v>
      </c>
      <c r="E54" s="23"/>
      <c r="F54" s="23"/>
      <c r="G54" s="23"/>
      <c r="H54" s="32" t="e">
        <f>SUM(B54:G54)</f>
        <v>#REF!</v>
      </c>
      <c r="I54" s="4" t="s">
        <v>647</v>
      </c>
    </row>
    <row r="56" spans="1:10">
      <c r="A56" s="256" t="s">
        <v>891</v>
      </c>
      <c r="H56" s="42"/>
    </row>
    <row r="57" spans="1:10">
      <c r="A57" s="43" t="s">
        <v>892</v>
      </c>
    </row>
    <row r="58" spans="1:10">
      <c r="A58" s="8"/>
      <c r="B58" s="44" t="s">
        <v>619</v>
      </c>
      <c r="C58" s="44" t="s">
        <v>620</v>
      </c>
      <c r="D58" s="44" t="s">
        <v>621</v>
      </c>
      <c r="E58" s="45" t="s">
        <v>622</v>
      </c>
      <c r="F58" s="45" t="s">
        <v>623</v>
      </c>
      <c r="G58" s="45" t="s">
        <v>624</v>
      </c>
      <c r="H58" s="46" t="s">
        <v>625</v>
      </c>
    </row>
    <row r="59" spans="1:10">
      <c r="A59" s="18" t="s">
        <v>646</v>
      </c>
      <c r="B59" s="20"/>
      <c r="C59" s="20"/>
      <c r="D59" s="20"/>
      <c r="E59" s="13" t="e">
        <f>C124*H52</f>
        <v>#REF!</v>
      </c>
      <c r="F59" s="13" t="e">
        <f>C123*H52</f>
        <v>#REF!</v>
      </c>
      <c r="G59" s="20"/>
      <c r="H59" s="49" t="e">
        <f>SUM(E59:G59)</f>
        <v>#REF!</v>
      </c>
      <c r="I59" s="4" t="s">
        <v>648</v>
      </c>
    </row>
    <row r="60" spans="1:10" s="759" customFormat="1">
      <c r="A60" s="254" t="s">
        <v>914</v>
      </c>
      <c r="B60" s="23"/>
      <c r="C60" s="23"/>
      <c r="D60" s="23"/>
      <c r="E60" s="31" t="e">
        <f>+'[11]14-15'!$E$13-'[11]13-14'!$E$13</f>
        <v>#REF!</v>
      </c>
      <c r="F60" s="31"/>
      <c r="G60" s="31" t="e">
        <f>+'[11]14-15'!$F$13+'[11]14-15'!$G$15-'[11]13-14'!$F$13-'[15]13-14'!$G$15</f>
        <v>#REF!</v>
      </c>
      <c r="H60" s="32" t="e">
        <f>SUM(B60:G60)</f>
        <v>#REF!</v>
      </c>
      <c r="I60" s="4"/>
    </row>
    <row r="61" spans="1:10" s="759" customFormat="1">
      <c r="A61" s="254" t="s">
        <v>625</v>
      </c>
      <c r="B61" s="31">
        <f t="shared" ref="B61:G61" si="0">SUM(B59:B60)</f>
        <v>0</v>
      </c>
      <c r="C61" s="31">
        <f t="shared" si="0"/>
        <v>0</v>
      </c>
      <c r="D61" s="31">
        <f t="shared" si="0"/>
        <v>0</v>
      </c>
      <c r="E61" s="63" t="e">
        <f t="shared" si="0"/>
        <v>#REF!</v>
      </c>
      <c r="F61" s="63" t="e">
        <f t="shared" si="0"/>
        <v>#REF!</v>
      </c>
      <c r="G61" s="63" t="e">
        <f t="shared" si="0"/>
        <v>#REF!</v>
      </c>
      <c r="H61" s="32" t="e">
        <f>SUM(B61:G61)</f>
        <v>#REF!</v>
      </c>
      <c r="I61" s="4"/>
    </row>
    <row r="62" spans="1:10">
      <c r="E62" s="28"/>
      <c r="F62" s="28"/>
      <c r="H62" s="29"/>
    </row>
    <row r="64" spans="1:10">
      <c r="A64" s="6" t="s">
        <v>649</v>
      </c>
    </row>
    <row r="65" spans="1:9">
      <c r="A65" s="7" t="s">
        <v>827</v>
      </c>
    </row>
    <row r="66" spans="1:9">
      <c r="A66" s="8"/>
      <c r="B66" s="44" t="s">
        <v>619</v>
      </c>
      <c r="C66" s="44" t="s">
        <v>620</v>
      </c>
      <c r="D66" s="44" t="s">
        <v>621</v>
      </c>
      <c r="E66" s="45" t="s">
        <v>622</v>
      </c>
      <c r="F66" s="45" t="s">
        <v>623</v>
      </c>
      <c r="G66" s="45" t="s">
        <v>624</v>
      </c>
      <c r="H66" s="46" t="s">
        <v>625</v>
      </c>
    </row>
    <row r="67" spans="1:9">
      <c r="A67" s="47" t="s">
        <v>650</v>
      </c>
      <c r="B67" s="13" t="e">
        <f>+'[16]14-15 Adjusted Allocation'!$D$14+'[16]14-15 Adjusted Allocation'!$D$20</f>
        <v>#REF!</v>
      </c>
      <c r="C67" s="13" t="e">
        <f>+'[16]14-15 Adjusted Allocation'!$B$14+'[16]14-15 Adjusted Allocation'!$B$20</f>
        <v>#REF!</v>
      </c>
      <c r="D67" s="13" t="e">
        <f>+'[16]14-15 Adjusted Allocation'!$C$14+'[16]14-15 Adjusted Allocation'!$C$20</f>
        <v>#REF!</v>
      </c>
      <c r="E67" s="13" t="e">
        <f>+'[16]14-15 Adjusted Allocation'!$E$14+'[16]14-15 Adjusted Allocation'!$E$20</f>
        <v>#REF!</v>
      </c>
      <c r="F67" s="13" t="e">
        <f>+'[16]14-15 Adjusted Allocation'!$F$14+'[16]14-15 Adjusted Allocation'!$F$20</f>
        <v>#REF!</v>
      </c>
      <c r="G67" s="13" t="e">
        <f>+COLA!B26-SUM(B67:F67)</f>
        <v>#REF!</v>
      </c>
      <c r="H67" s="14" t="e">
        <f>SUM(B67:G67)</f>
        <v>#REF!</v>
      </c>
      <c r="I67" s="4" t="s">
        <v>651</v>
      </c>
    </row>
    <row r="68" spans="1:9">
      <c r="A68" s="47" t="s">
        <v>476</v>
      </c>
      <c r="B68" s="13" t="e">
        <f>+'[16]14-15 Adjusted Allocation'!$D$37+'[16]14-15 Adjusted Allocation'!$D$55+'[16]14-15 Adjusted Allocation'!$D$62</f>
        <v>#REF!</v>
      </c>
      <c r="C68" s="13" t="e">
        <f>+'[16]14-15 Adjusted Allocation'!$B$37+'[16]14-15 Adjusted Allocation'!$B$55+'[16]14-15 Adjusted Allocation'!$B$62</f>
        <v>#REF!</v>
      </c>
      <c r="D68" s="13" t="e">
        <f>+'[16]14-15 Adjusted Allocation'!$C$37+'[16]14-15 Adjusted Allocation'!$C$55+'[16]14-15 Adjusted Allocation'!$C$62</f>
        <v>#REF!</v>
      </c>
      <c r="E68" s="13" t="e">
        <f>+'[16]14-15 Adjusted Allocation'!$E$37+'[16]14-15 Adjusted Allocation'!$E$55+'[16]14-15 Adjusted Allocation'!$E$62</f>
        <v>#REF!</v>
      </c>
      <c r="F68" s="13" t="e">
        <f>+'[16]14-15 Adjusted Allocation'!$F$37+'[16]14-15 Adjusted Allocation'!$F$55+'[16]14-15 Adjusted Allocation'!$F$62</f>
        <v>#REF!</v>
      </c>
      <c r="G68" s="13" t="e">
        <f>+'Rev-Exp Plan'!Z41-'Rev-Exp Plan'!Y41-SUM(B68:F68,B67:G67)</f>
        <v>#REF!</v>
      </c>
      <c r="H68" s="14" t="e">
        <f>SUM(B68:G68)</f>
        <v>#REF!</v>
      </c>
    </row>
    <row r="69" spans="1:9">
      <c r="A69" s="47" t="s">
        <v>166</v>
      </c>
      <c r="B69" s="13"/>
      <c r="C69" s="13"/>
      <c r="D69" s="13"/>
      <c r="E69" s="13"/>
      <c r="F69" s="13">
        <f>+'Sq Ft'!AC76-'Sq Ft'!Q76</f>
        <v>11510.391900000162</v>
      </c>
      <c r="G69" s="13"/>
      <c r="H69" s="14">
        <f>SUM(B69:G69)</f>
        <v>11510.391900000162</v>
      </c>
    </row>
    <row r="70" spans="1:9">
      <c r="A70" s="50"/>
      <c r="B70" s="52" t="e">
        <f>SUM(B67:B69)</f>
        <v>#REF!</v>
      </c>
      <c r="C70" s="52" t="e">
        <f t="shared" ref="C70:H70" si="1">SUM(C67:C69)</f>
        <v>#REF!</v>
      </c>
      <c r="D70" s="52" t="e">
        <f t="shared" si="1"/>
        <v>#REF!</v>
      </c>
      <c r="E70" s="52" t="e">
        <f t="shared" si="1"/>
        <v>#REF!</v>
      </c>
      <c r="F70" s="52" t="e">
        <f t="shared" si="1"/>
        <v>#REF!</v>
      </c>
      <c r="G70" s="52" t="e">
        <f t="shared" si="1"/>
        <v>#REF!</v>
      </c>
      <c r="H70" s="52" t="e">
        <f t="shared" si="1"/>
        <v>#REF!</v>
      </c>
    </row>
    <row r="71" spans="1:9">
      <c r="A71" s="54"/>
    </row>
    <row r="73" spans="1:9">
      <c r="A73" s="6" t="s">
        <v>653</v>
      </c>
    </row>
    <row r="74" spans="1:9">
      <c r="A74" s="7" t="s">
        <v>338</v>
      </c>
    </row>
    <row r="75" spans="1:9">
      <c r="A75" s="7" t="s">
        <v>654</v>
      </c>
    </row>
    <row r="76" spans="1:9">
      <c r="A76" s="623" t="s">
        <v>655</v>
      </c>
      <c r="B76" s="29" t="e">
        <f>+H9</f>
        <v>#REF!</v>
      </c>
      <c r="D76" s="71" t="s">
        <v>240</v>
      </c>
      <c r="E76" s="55">
        <f>+Revenues!F86</f>
        <v>18987.543651284683</v>
      </c>
      <c r="F76" s="623" t="s">
        <v>656</v>
      </c>
    </row>
    <row r="77" spans="1:9">
      <c r="A77" s="71" t="s">
        <v>828</v>
      </c>
      <c r="B77" s="28">
        <f>+'SB361'!L18</f>
        <v>823260.70311921963</v>
      </c>
      <c r="D77" s="71" t="s">
        <v>23</v>
      </c>
      <c r="E77" s="39">
        <f>+Revenues!F99</f>
        <v>18479.842778023292</v>
      </c>
      <c r="F77" s="623" t="s">
        <v>657</v>
      </c>
    </row>
    <row r="78" spans="1:9">
      <c r="A78" s="623" t="s">
        <v>652</v>
      </c>
      <c r="B78" s="28">
        <f>+'SB361'!L19</f>
        <v>-2389180.5762746101</v>
      </c>
      <c r="D78" s="623" t="s">
        <v>658</v>
      </c>
      <c r="E78" s="39">
        <f>MAX(E77-E76,0)</f>
        <v>0</v>
      </c>
    </row>
    <row r="79" spans="1:9">
      <c r="A79" s="623" t="s">
        <v>659</v>
      </c>
      <c r="B79" s="28" t="e">
        <f>+'Rev-Exp Plan'!Z25-SUM('Resource Alloc 14-15'!B76:B78)</f>
        <v>#REF!</v>
      </c>
      <c r="D79" s="54" t="s">
        <v>478</v>
      </c>
      <c r="E79" s="771">
        <v>0</v>
      </c>
      <c r="F79" s="181"/>
      <c r="I79" s="4" t="s">
        <v>641</v>
      </c>
    </row>
    <row r="80" spans="1:9">
      <c r="A80" s="71" t="s">
        <v>866</v>
      </c>
      <c r="B80" s="57" t="e">
        <f>SUM(B76:B79)</f>
        <v>#REF!</v>
      </c>
      <c r="D80" s="71" t="s">
        <v>344</v>
      </c>
      <c r="E80" s="130">
        <v>0</v>
      </c>
    </row>
    <row r="81" spans="1:10">
      <c r="A81" s="623" t="s">
        <v>660</v>
      </c>
      <c r="B81" s="29" t="e">
        <f>+B80-B76</f>
        <v>#REF!</v>
      </c>
    </row>
    <row r="82" spans="1:10">
      <c r="A82" s="71" t="s">
        <v>880</v>
      </c>
      <c r="B82" s="29" t="e">
        <f>+B81-E79-E80</f>
        <v>#REF!</v>
      </c>
      <c r="C82" s="243"/>
    </row>
    <row r="83" spans="1:10">
      <c r="A83" s="623" t="s">
        <v>661</v>
      </c>
      <c r="C83" s="29"/>
    </row>
    <row r="84" spans="1:10">
      <c r="A84" s="623" t="s">
        <v>662</v>
      </c>
      <c r="B84" s="29" t="e">
        <f>+H30</f>
        <v>#REF!</v>
      </c>
    </row>
    <row r="85" spans="1:10">
      <c r="A85" s="623" t="s">
        <v>663</v>
      </c>
      <c r="B85" s="29" t="e">
        <f>+H36</f>
        <v>#NAME?</v>
      </c>
    </row>
    <row r="86" spans="1:10" s="4" customFormat="1">
      <c r="A86" s="623" t="s">
        <v>664</v>
      </c>
      <c r="B86" s="29">
        <f>+H41</f>
        <v>0</v>
      </c>
      <c r="C86" s="623"/>
      <c r="D86" s="623"/>
      <c r="E86" s="623"/>
      <c r="F86" s="623"/>
      <c r="G86" s="623"/>
      <c r="H86" s="623"/>
      <c r="J86" s="623"/>
    </row>
    <row r="87" spans="1:10" s="4" customFormat="1">
      <c r="A87" s="623" t="s">
        <v>665</v>
      </c>
      <c r="B87" s="29" t="e">
        <f>+H54</f>
        <v>#REF!</v>
      </c>
      <c r="C87" s="623"/>
      <c r="D87" s="623"/>
      <c r="E87" s="623"/>
      <c r="F87" s="623"/>
      <c r="G87" s="623"/>
      <c r="H87" s="623"/>
      <c r="J87" s="623"/>
    </row>
    <row r="88" spans="1:10" s="4" customFormat="1">
      <c r="A88" s="623" t="s">
        <v>666</v>
      </c>
      <c r="B88" s="29" t="e">
        <f>+H61</f>
        <v>#REF!</v>
      </c>
      <c r="C88" s="623"/>
      <c r="D88" s="623"/>
      <c r="E88" s="623"/>
      <c r="F88" s="623"/>
      <c r="G88" s="623"/>
      <c r="H88" s="623"/>
      <c r="J88" s="623"/>
    </row>
    <row r="89" spans="1:10" s="4" customFormat="1">
      <c r="A89" s="623" t="s">
        <v>667</v>
      </c>
      <c r="B89" s="29" t="e">
        <f>+H70</f>
        <v>#REF!</v>
      </c>
      <c r="C89" s="623"/>
      <c r="D89" s="623"/>
      <c r="E89" s="623"/>
      <c r="F89" s="623"/>
      <c r="G89" s="623"/>
      <c r="H89" s="623"/>
      <c r="J89" s="623"/>
    </row>
    <row r="90" spans="1:10" s="4" customFormat="1">
      <c r="A90" s="623"/>
      <c r="B90" s="57" t="e">
        <f>SUM(B84:B89)</f>
        <v>#REF!</v>
      </c>
      <c r="C90" s="623"/>
      <c r="D90" s="623"/>
      <c r="E90" s="623"/>
      <c r="F90" s="623"/>
      <c r="G90" s="623"/>
      <c r="H90" s="623"/>
      <c r="J90" s="623"/>
    </row>
    <row r="91" spans="1:10" s="4" customFormat="1">
      <c r="A91" s="623" t="s">
        <v>668</v>
      </c>
      <c r="B91" s="29" t="e">
        <f>+B82-B90</f>
        <v>#REF!</v>
      </c>
      <c r="C91" s="623"/>
      <c r="D91" s="623"/>
      <c r="E91" s="623"/>
      <c r="F91" s="623"/>
      <c r="G91" s="623"/>
      <c r="H91" s="623"/>
      <c r="J91" s="623"/>
    </row>
    <row r="92" spans="1:10" s="4" customFormat="1">
      <c r="A92" s="623"/>
      <c r="B92" s="29"/>
      <c r="C92" s="623"/>
      <c r="D92" s="623"/>
      <c r="E92" s="623"/>
      <c r="F92" s="623"/>
      <c r="G92" s="623"/>
      <c r="H92" s="623"/>
      <c r="J92" s="623"/>
    </row>
    <row r="93" spans="1:10" s="4" customFormat="1">
      <c r="A93" s="8"/>
      <c r="B93" s="9" t="s">
        <v>619</v>
      </c>
      <c r="C93" s="9" t="s">
        <v>620</v>
      </c>
      <c r="D93" s="9" t="s">
        <v>621</v>
      </c>
      <c r="E93" s="10" t="s">
        <v>622</v>
      </c>
      <c r="F93" s="10" t="s">
        <v>623</v>
      </c>
      <c r="G93" s="10" t="s">
        <v>624</v>
      </c>
      <c r="H93" s="11" t="s">
        <v>625</v>
      </c>
      <c r="J93" s="623"/>
    </row>
    <row r="94" spans="1:10" s="4" customFormat="1">
      <c r="A94" s="248" t="s">
        <v>29</v>
      </c>
      <c r="B94" s="58" t="e">
        <f>+B9</f>
        <v>#REF!</v>
      </c>
      <c r="C94" s="58" t="e">
        <f>+C9</f>
        <v>#REF!</v>
      </c>
      <c r="D94" s="58" t="e">
        <f>+D9</f>
        <v>#REF!</v>
      </c>
      <c r="E94" s="58" t="e">
        <f>+E9</f>
        <v>#REF!</v>
      </c>
      <c r="F94" s="58" t="e">
        <f>+F9</f>
        <v>#REF!</v>
      </c>
      <c r="G94" s="59" t="s">
        <v>669</v>
      </c>
      <c r="H94" s="49" t="e">
        <f>SUM(B94:G94)</f>
        <v>#REF!</v>
      </c>
      <c r="J94" s="623"/>
    </row>
    <row r="95" spans="1:10" s="4" customFormat="1">
      <c r="A95" s="60" t="s">
        <v>670</v>
      </c>
      <c r="B95" s="26" t="e">
        <f>+B94/$H94</f>
        <v>#REF!</v>
      </c>
      <c r="C95" s="26" t="e">
        <f>+C94/$H94</f>
        <v>#REF!</v>
      </c>
      <c r="D95" s="26" t="e">
        <f>+D94/$H94</f>
        <v>#REF!</v>
      </c>
      <c r="E95" s="26" t="e">
        <f>+E94/$H94</f>
        <v>#REF!</v>
      </c>
      <c r="F95" s="26" t="e">
        <f>+F94/$H94</f>
        <v>#REF!</v>
      </c>
      <c r="G95" s="26"/>
      <c r="H95" s="61"/>
      <c r="J95" s="623"/>
    </row>
    <row r="96" spans="1:10" s="4" customFormat="1">
      <c r="A96" s="62" t="s">
        <v>671</v>
      </c>
      <c r="B96" s="31" t="e">
        <f t="shared" ref="B96:G96" si="2">+B95*$B91</f>
        <v>#REF!</v>
      </c>
      <c r="C96" s="31" t="e">
        <f t="shared" si="2"/>
        <v>#REF!</v>
      </c>
      <c r="D96" s="31" t="e">
        <f t="shared" si="2"/>
        <v>#REF!</v>
      </c>
      <c r="E96" s="31" t="e">
        <f t="shared" si="2"/>
        <v>#REF!</v>
      </c>
      <c r="F96" s="31" t="e">
        <f t="shared" si="2"/>
        <v>#REF!</v>
      </c>
      <c r="G96" s="31" t="e">
        <f t="shared" si="2"/>
        <v>#REF!</v>
      </c>
      <c r="H96" s="32" t="e">
        <f>SUM(B96:G96)</f>
        <v>#REF!</v>
      </c>
      <c r="J96" s="623"/>
    </row>
    <row r="97" spans="1:10" s="4" customFormat="1">
      <c r="A97" s="25"/>
      <c r="B97" s="28"/>
      <c r="C97" s="28"/>
      <c r="D97" s="28"/>
      <c r="E97" s="28"/>
      <c r="F97" s="28"/>
      <c r="G97" s="28"/>
      <c r="H97" s="29"/>
      <c r="J97" s="623"/>
    </row>
    <row r="99" spans="1:10" s="4" customFormat="1">
      <c r="A99" s="623" t="s">
        <v>672</v>
      </c>
      <c r="B99" s="623"/>
      <c r="C99" s="623"/>
      <c r="D99" s="623"/>
      <c r="E99" s="623"/>
      <c r="F99" s="623"/>
      <c r="G99" s="623"/>
      <c r="H99" s="623"/>
      <c r="J99" s="623"/>
    </row>
    <row r="100" spans="1:10" s="4" customFormat="1">
      <c r="A100" s="7" t="s">
        <v>968</v>
      </c>
      <c r="B100" s="623"/>
      <c r="C100" s="623"/>
      <c r="D100" s="623"/>
      <c r="E100" s="623"/>
      <c r="F100" s="623"/>
      <c r="G100" s="623"/>
      <c r="H100" s="623"/>
      <c r="J100" s="623"/>
    </row>
    <row r="101" spans="1:10" s="4" customFormat="1">
      <c r="A101" s="8"/>
      <c r="B101" s="9" t="s">
        <v>619</v>
      </c>
      <c r="C101" s="9" t="s">
        <v>620</v>
      </c>
      <c r="D101" s="9" t="s">
        <v>621</v>
      </c>
      <c r="E101" s="10" t="s">
        <v>622</v>
      </c>
      <c r="F101" s="10" t="s">
        <v>623</v>
      </c>
      <c r="G101" s="10" t="s">
        <v>624</v>
      </c>
      <c r="H101" s="11" t="s">
        <v>625</v>
      </c>
      <c r="J101" s="623"/>
    </row>
    <row r="102" spans="1:10" s="4" customFormat="1">
      <c r="A102" s="248" t="s">
        <v>29</v>
      </c>
      <c r="B102" s="13" t="e">
        <f t="shared" ref="B102:G102" si="3">+B9</f>
        <v>#REF!</v>
      </c>
      <c r="C102" s="13" t="e">
        <f t="shared" si="3"/>
        <v>#REF!</v>
      </c>
      <c r="D102" s="13" t="e">
        <f t="shared" si="3"/>
        <v>#REF!</v>
      </c>
      <c r="E102" s="13" t="e">
        <f t="shared" si="3"/>
        <v>#REF!</v>
      </c>
      <c r="F102" s="13" t="e">
        <f t="shared" si="3"/>
        <v>#REF!</v>
      </c>
      <c r="G102" s="13" t="e">
        <f t="shared" si="3"/>
        <v>#NAME?</v>
      </c>
      <c r="H102" s="14" t="e">
        <f t="shared" ref="H102:H109" si="4">SUM(B102:G102)</f>
        <v>#REF!</v>
      </c>
      <c r="J102" s="623"/>
    </row>
    <row r="103" spans="1:10" s="4" customFormat="1">
      <c r="A103" s="18" t="s">
        <v>662</v>
      </c>
      <c r="B103" s="58" t="e">
        <f t="shared" ref="B103:G103" si="5">+B30</f>
        <v>#REF!</v>
      </c>
      <c r="C103" s="58" t="e">
        <f t="shared" si="5"/>
        <v>#REF!</v>
      </c>
      <c r="D103" s="58" t="e">
        <f t="shared" si="5"/>
        <v>#REF!</v>
      </c>
      <c r="E103" s="58">
        <f t="shared" si="5"/>
        <v>0</v>
      </c>
      <c r="F103" s="58">
        <f t="shared" si="5"/>
        <v>0</v>
      </c>
      <c r="G103" s="58">
        <f t="shared" si="5"/>
        <v>0</v>
      </c>
      <c r="H103" s="49" t="e">
        <f t="shared" si="4"/>
        <v>#REF!</v>
      </c>
      <c r="J103" s="623"/>
    </row>
    <row r="104" spans="1:10" s="4" customFormat="1">
      <c r="A104" s="18" t="s">
        <v>673</v>
      </c>
      <c r="B104" s="13">
        <f t="shared" ref="B104:G104" si="6">+B36</f>
        <v>0</v>
      </c>
      <c r="C104" s="13">
        <f t="shared" si="6"/>
        <v>0</v>
      </c>
      <c r="D104" s="13">
        <f t="shared" si="6"/>
        <v>0</v>
      </c>
      <c r="E104" s="13">
        <f t="shared" si="6"/>
        <v>0</v>
      </c>
      <c r="F104" s="13">
        <f t="shared" si="6"/>
        <v>0</v>
      </c>
      <c r="G104" s="13" t="e">
        <f t="shared" si="6"/>
        <v>#NAME?</v>
      </c>
      <c r="H104" s="49" t="e">
        <f t="shared" si="4"/>
        <v>#NAME?</v>
      </c>
      <c r="J104" s="623"/>
    </row>
    <row r="105" spans="1:10" s="4" customFormat="1">
      <c r="A105" s="18" t="s">
        <v>664</v>
      </c>
      <c r="B105" s="13">
        <f t="shared" ref="B105:G105" si="7">+B41</f>
        <v>0</v>
      </c>
      <c r="C105" s="13">
        <f t="shared" si="7"/>
        <v>0</v>
      </c>
      <c r="D105" s="13">
        <f t="shared" si="7"/>
        <v>0</v>
      </c>
      <c r="E105" s="13">
        <f t="shared" si="7"/>
        <v>0</v>
      </c>
      <c r="F105" s="13">
        <f t="shared" si="7"/>
        <v>0</v>
      </c>
      <c r="G105" s="13">
        <f t="shared" si="7"/>
        <v>0</v>
      </c>
      <c r="H105" s="49">
        <f t="shared" si="4"/>
        <v>0</v>
      </c>
      <c r="J105" s="623"/>
    </row>
    <row r="106" spans="1:10" s="4" customFormat="1">
      <c r="A106" s="18" t="s">
        <v>665</v>
      </c>
      <c r="B106" s="58" t="e">
        <f>+B54</f>
        <v>#REF!</v>
      </c>
      <c r="C106" s="58" t="e">
        <f>+C54</f>
        <v>#REF!</v>
      </c>
      <c r="D106" s="58" t="e">
        <f>+D54</f>
        <v>#REF!</v>
      </c>
      <c r="E106" s="58">
        <f>+E52</f>
        <v>0</v>
      </c>
      <c r="F106" s="58">
        <f>+F52</f>
        <v>0</v>
      </c>
      <c r="G106" s="58">
        <f>+G52</f>
        <v>0</v>
      </c>
      <c r="H106" s="49" t="e">
        <f t="shared" si="4"/>
        <v>#REF!</v>
      </c>
      <c r="J106" s="29"/>
    </row>
    <row r="107" spans="1:10" s="4" customFormat="1">
      <c r="A107" s="18" t="s">
        <v>666</v>
      </c>
      <c r="B107" s="13">
        <f>+B59</f>
        <v>0</v>
      </c>
      <c r="C107" s="13">
        <f>+C59</f>
        <v>0</v>
      </c>
      <c r="D107" s="13">
        <f>+D59</f>
        <v>0</v>
      </c>
      <c r="E107" s="13" t="e">
        <f>+E61</f>
        <v>#REF!</v>
      </c>
      <c r="F107" s="13" t="e">
        <f>+F61</f>
        <v>#REF!</v>
      </c>
      <c r="G107" s="13" t="e">
        <f>+G61</f>
        <v>#REF!</v>
      </c>
      <c r="H107" s="49" t="e">
        <f t="shared" si="4"/>
        <v>#REF!</v>
      </c>
      <c r="J107" s="623"/>
    </row>
    <row r="108" spans="1:10" s="4" customFormat="1">
      <c r="A108" s="18" t="s">
        <v>667</v>
      </c>
      <c r="B108" s="13" t="e">
        <f t="shared" ref="B108:G108" si="8">+B70</f>
        <v>#REF!</v>
      </c>
      <c r="C108" s="13" t="e">
        <f t="shared" si="8"/>
        <v>#REF!</v>
      </c>
      <c r="D108" s="13" t="e">
        <f t="shared" si="8"/>
        <v>#REF!</v>
      </c>
      <c r="E108" s="13" t="e">
        <f t="shared" si="8"/>
        <v>#REF!</v>
      </c>
      <c r="F108" s="13" t="e">
        <f t="shared" si="8"/>
        <v>#REF!</v>
      </c>
      <c r="G108" s="13" t="e">
        <f t="shared" si="8"/>
        <v>#REF!</v>
      </c>
      <c r="H108" s="49" t="e">
        <f t="shared" si="4"/>
        <v>#REF!</v>
      </c>
      <c r="J108" s="623"/>
    </row>
    <row r="109" spans="1:10" s="4" customFormat="1">
      <c r="A109" s="18" t="s">
        <v>674</v>
      </c>
      <c r="B109" s="63" t="e">
        <f t="shared" ref="B109:G109" si="9">+B96</f>
        <v>#REF!</v>
      </c>
      <c r="C109" s="63" t="e">
        <f t="shared" si="9"/>
        <v>#REF!</v>
      </c>
      <c r="D109" s="63" t="e">
        <f t="shared" si="9"/>
        <v>#REF!</v>
      </c>
      <c r="E109" s="63" t="e">
        <f t="shared" si="9"/>
        <v>#REF!</v>
      </c>
      <c r="F109" s="63" t="e">
        <f t="shared" si="9"/>
        <v>#REF!</v>
      </c>
      <c r="G109" s="63" t="e">
        <f t="shared" si="9"/>
        <v>#REF!</v>
      </c>
      <c r="H109" s="32" t="e">
        <f t="shared" si="4"/>
        <v>#REF!</v>
      </c>
      <c r="J109" s="623"/>
    </row>
    <row r="110" spans="1:10" s="4" customFormat="1">
      <c r="A110" s="18" t="s">
        <v>675</v>
      </c>
      <c r="B110" s="63" t="e">
        <f t="shared" ref="B110:H110" si="10">SUM(B103:B109)</f>
        <v>#REF!</v>
      </c>
      <c r="C110" s="63" t="e">
        <f t="shared" si="10"/>
        <v>#REF!</v>
      </c>
      <c r="D110" s="63" t="e">
        <f t="shared" si="10"/>
        <v>#REF!</v>
      </c>
      <c r="E110" s="63" t="e">
        <f t="shared" si="10"/>
        <v>#REF!</v>
      </c>
      <c r="F110" s="63" t="e">
        <f t="shared" si="10"/>
        <v>#REF!</v>
      </c>
      <c r="G110" s="63" t="e">
        <f t="shared" si="10"/>
        <v>#NAME?</v>
      </c>
      <c r="H110" s="32" t="e">
        <f t="shared" si="10"/>
        <v>#REF!</v>
      </c>
      <c r="J110" s="623"/>
    </row>
    <row r="111" spans="1:10" s="4" customFormat="1">
      <c r="A111" s="8"/>
      <c r="B111" s="9" t="s">
        <v>619</v>
      </c>
      <c r="C111" s="9" t="s">
        <v>620</v>
      </c>
      <c r="D111" s="9" t="s">
        <v>621</v>
      </c>
      <c r="E111" s="10" t="s">
        <v>622</v>
      </c>
      <c r="F111" s="10" t="s">
        <v>623</v>
      </c>
      <c r="G111" s="10" t="s">
        <v>624</v>
      </c>
      <c r="H111" s="11" t="s">
        <v>625</v>
      </c>
      <c r="J111" s="623"/>
    </row>
    <row r="112" spans="1:10" s="4" customFormat="1">
      <c r="A112" s="254" t="s">
        <v>930</v>
      </c>
      <c r="B112" s="64" t="e">
        <f>+B110+B102</f>
        <v>#REF!</v>
      </c>
      <c r="C112" s="64" t="e">
        <f>+C110+C102</f>
        <v>#REF!</v>
      </c>
      <c r="D112" s="64" t="e">
        <f>+D110+D102</f>
        <v>#REF!</v>
      </c>
      <c r="E112" s="64" t="e">
        <f>+E110+E102</f>
        <v>#REF!</v>
      </c>
      <c r="F112" s="64" t="e">
        <f>+F110+F102</f>
        <v>#REF!</v>
      </c>
      <c r="G112" s="64" t="e">
        <f>+G110+G102-0.5</f>
        <v>#NAME?</v>
      </c>
      <c r="H112" s="53" t="e">
        <f>+H110+H102</f>
        <v>#REF!</v>
      </c>
      <c r="J112" s="29"/>
    </row>
    <row r="113" spans="1:10" s="4" customFormat="1">
      <c r="A113" s="623"/>
      <c r="B113" s="623"/>
      <c r="C113" s="623"/>
      <c r="D113" s="623"/>
      <c r="E113" s="623"/>
      <c r="F113" s="623"/>
      <c r="G113" s="623"/>
      <c r="H113" s="29"/>
      <c r="J113" s="623"/>
    </row>
    <row r="114" spans="1:10" s="4" customFormat="1">
      <c r="A114" s="314" t="s">
        <v>957</v>
      </c>
      <c r="B114" s="28" t="e">
        <f>+B95*('Rev-Exp Plan (2)'!$Z11)</f>
        <v>#REF!</v>
      </c>
      <c r="C114" s="28" t="e">
        <f>+C95*('Rev-Exp Plan (2)'!$Z11)</f>
        <v>#REF!</v>
      </c>
      <c r="D114" s="28" t="e">
        <f>+D95*('Rev-Exp Plan (2)'!$Z11)</f>
        <v>#REF!</v>
      </c>
      <c r="E114" s="28" t="e">
        <f>+E95*('Rev-Exp Plan (2)'!$Z11)</f>
        <v>#REF!</v>
      </c>
      <c r="F114" s="28" t="e">
        <f>+F95*('Rev-Exp Plan (2)'!$Z11)</f>
        <v>#REF!</v>
      </c>
      <c r="G114" s="792"/>
      <c r="H114" s="29" t="e">
        <f>SUM(B114:F114)</f>
        <v>#REF!</v>
      </c>
      <c r="J114" s="792"/>
    </row>
    <row r="115" spans="1:10" s="4" customFormat="1">
      <c r="A115" s="792"/>
      <c r="B115" s="792"/>
      <c r="C115" s="792"/>
      <c r="D115" s="792"/>
      <c r="E115" s="792"/>
      <c r="F115" s="792"/>
      <c r="G115" s="792"/>
      <c r="H115" s="29"/>
      <c r="J115" s="792"/>
    </row>
    <row r="116" spans="1:10" s="4" customFormat="1">
      <c r="A116" s="314" t="s">
        <v>958</v>
      </c>
      <c r="B116" s="13" t="e">
        <f t="shared" ref="B116:H116" si="11">+B114+B112</f>
        <v>#REF!</v>
      </c>
      <c r="C116" s="13" t="e">
        <f t="shared" si="11"/>
        <v>#REF!</v>
      </c>
      <c r="D116" s="13" t="e">
        <f t="shared" si="11"/>
        <v>#REF!</v>
      </c>
      <c r="E116" s="13" t="e">
        <f t="shared" si="11"/>
        <v>#REF!</v>
      </c>
      <c r="F116" s="13" t="e">
        <f t="shared" si="11"/>
        <v>#REF!</v>
      </c>
      <c r="G116" s="13" t="e">
        <f t="shared" si="11"/>
        <v>#NAME?</v>
      </c>
      <c r="H116" s="13" t="e">
        <f t="shared" si="11"/>
        <v>#REF!</v>
      </c>
      <c r="J116" s="792"/>
    </row>
    <row r="117" spans="1:10" s="4" customFormat="1">
      <c r="A117" s="314" t="s">
        <v>1093</v>
      </c>
      <c r="B117" s="13" t="e">
        <f>+B116-'[17]Resource Alloc 14-15'!B$117</f>
        <v>#REF!</v>
      </c>
      <c r="C117" s="13" t="e">
        <f>+C116-'[17]Resource Alloc 14-15'!C$117</f>
        <v>#REF!</v>
      </c>
      <c r="D117" s="13" t="e">
        <f>+D116-'[17]Resource Alloc 14-15'!D$117</f>
        <v>#REF!</v>
      </c>
      <c r="E117" s="13" t="e">
        <f>+E116-'[17]Resource Alloc 14-15'!E$117</f>
        <v>#REF!</v>
      </c>
      <c r="F117" s="13" t="e">
        <f>+F116-'[17]Resource Alloc 14-15'!F$117</f>
        <v>#REF!</v>
      </c>
      <c r="G117" s="13" t="e">
        <f>+G116-'[17]Resource Alloc 14-15'!G$117</f>
        <v>#NAME?</v>
      </c>
      <c r="H117" s="13" t="e">
        <f>SUM(B117:G117)</f>
        <v>#REF!</v>
      </c>
      <c r="J117" s="792"/>
    </row>
    <row r="118" spans="1:10" s="4" customFormat="1">
      <c r="A118" s="314"/>
      <c r="B118" s="13"/>
      <c r="C118" s="13"/>
      <c r="D118" s="13"/>
      <c r="E118" s="13"/>
      <c r="F118" s="13"/>
      <c r="G118" s="13"/>
      <c r="H118" s="13"/>
      <c r="J118" s="623"/>
    </row>
    <row r="119" spans="1:10" s="4" customFormat="1">
      <c r="A119" s="314"/>
      <c r="B119" s="65"/>
      <c r="C119" s="13"/>
      <c r="D119" s="623"/>
      <c r="E119" s="623"/>
      <c r="F119" s="20"/>
      <c r="G119" s="20"/>
      <c r="H119" s="29"/>
      <c r="J119" s="623"/>
    </row>
    <row r="120" spans="1:10" s="4" customFormat="1">
      <c r="A120" s="623"/>
      <c r="B120" s="623"/>
      <c r="C120" s="623"/>
      <c r="D120" s="623"/>
      <c r="E120" s="623"/>
      <c r="F120" s="20"/>
      <c r="G120" s="58"/>
      <c r="H120" s="29"/>
      <c r="J120" s="623"/>
    </row>
    <row r="121" spans="1:10">
      <c r="A121" s="66" t="s">
        <v>677</v>
      </c>
      <c r="C121" s="67">
        <f>+'Sq Ft'!B255</f>
        <v>1620579</v>
      </c>
      <c r="D121" s="651"/>
      <c r="F121" s="20"/>
      <c r="G121" s="58"/>
      <c r="I121" s="4" t="s">
        <v>678</v>
      </c>
    </row>
    <row r="122" spans="1:10">
      <c r="A122" s="623" t="s">
        <v>679</v>
      </c>
      <c r="C122" s="68" t="e">
        <f>+(F102/C121)/2</f>
        <v>#REF!</v>
      </c>
      <c r="F122" s="20"/>
      <c r="G122" s="58"/>
    </row>
    <row r="123" spans="1:10">
      <c r="A123" s="623" t="s">
        <v>680</v>
      </c>
      <c r="C123" s="69" t="e">
        <f>+F9/SUM($B9:$D9)/2</f>
        <v>#REF!</v>
      </c>
      <c r="H123" s="29"/>
    </row>
    <row r="124" spans="1:10">
      <c r="A124" s="623" t="s">
        <v>681</v>
      </c>
      <c r="C124" s="69" t="e">
        <f>+E9/SUM($B9:$D9)</f>
        <v>#REF!</v>
      </c>
    </row>
    <row r="126" spans="1:10">
      <c r="A126" s="623" t="s">
        <v>682</v>
      </c>
    </row>
    <row r="127" spans="1:10">
      <c r="A127" s="623" t="s">
        <v>506</v>
      </c>
    </row>
    <row r="128" spans="1:10">
      <c r="A128" s="623" t="s">
        <v>507</v>
      </c>
    </row>
    <row r="129" spans="1:1">
      <c r="A129" s="623" t="s">
        <v>683</v>
      </c>
    </row>
    <row r="130" spans="1:1">
      <c r="A130" s="623" t="s">
        <v>517</v>
      </c>
    </row>
    <row r="131" spans="1:1">
      <c r="A131" s="623" t="s">
        <v>518</v>
      </c>
    </row>
  </sheetData>
  <pageMargins left="0.75" right="0.75" top="1" bottom="1" header="0.5" footer="0.5"/>
  <pageSetup orientation="landscape" r:id="rId1"/>
  <headerFooter alignWithMargins="0">
    <oddHeader>&amp;CPrelim Budget 14/15</oddHeader>
  </headerFooter>
  <rowBreaks count="3" manualBreakCount="3">
    <brk id="37" max="8" man="1"/>
    <brk id="72" max="8" man="1"/>
    <brk id="98" max="8" man="1"/>
  </row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3"/>
  <sheetViews>
    <sheetView workbookViewId="0"/>
  </sheetViews>
  <sheetFormatPr defaultColWidth="9.28515625" defaultRowHeight="12.75"/>
  <cols>
    <col min="1" max="1" width="19.42578125" style="506" customWidth="1"/>
    <col min="2" max="5" width="13.42578125" style="506" customWidth="1"/>
    <col min="6" max="6" width="14.7109375" style="506" bestFit="1" customWidth="1"/>
    <col min="7" max="7" width="15.28515625" style="506" bestFit="1" customWidth="1"/>
    <col min="8" max="8" width="15.7109375" style="506" bestFit="1" customWidth="1"/>
    <col min="9" max="9" width="7" style="4" bestFit="1" customWidth="1"/>
    <col min="10" max="10" width="22.42578125" style="506" bestFit="1" customWidth="1"/>
    <col min="11" max="16384" width="9.28515625" style="506"/>
  </cols>
  <sheetData>
    <row r="1" spans="1:9">
      <c r="A1" s="1" t="s">
        <v>20</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54" t="s">
        <v>246</v>
      </c>
      <c r="B9" s="13" t="e">
        <f>+'[18]Resource Alloc 12-13'!B$115</f>
        <v>#REF!</v>
      </c>
      <c r="C9" s="13" t="e">
        <f>+'[18]Resource Alloc 12-13'!C$115</f>
        <v>#REF!</v>
      </c>
      <c r="D9" s="13" t="e">
        <f>+'[18]Resource Alloc 12-13'!D$115</f>
        <v>#REF!</v>
      </c>
      <c r="E9" s="13" t="e">
        <f>+'[18]Resource Alloc 12-13'!E$115</f>
        <v>#REF!</v>
      </c>
      <c r="F9" s="13" t="e">
        <f>+'[18]Resource Alloc 12-13'!F$115</f>
        <v>#REF!</v>
      </c>
      <c r="G9" s="13" t="e">
        <f>+'[18]Resource Alloc 12-13'!G$115</f>
        <v>#REF!</v>
      </c>
      <c r="H9" s="14" t="e">
        <f>SUM(B9:G9)</f>
        <v>#REF!</v>
      </c>
      <c r="I9" s="4" t="s">
        <v>626</v>
      </c>
    </row>
    <row r="10" spans="1:9">
      <c r="B10" s="69" t="e">
        <f>+B9/SUM($B9:$D9)</f>
        <v>#REF!</v>
      </c>
      <c r="C10" s="69" t="e">
        <f>+C9/SUM($B9:$D9)</f>
        <v>#REF!</v>
      </c>
      <c r="D10" s="69" t="e">
        <f>+D9/SUM($B9:$D9)</f>
        <v>#REF!</v>
      </c>
    </row>
    <row r="11" spans="1:9">
      <c r="A11" s="512" t="s">
        <v>240</v>
      </c>
      <c r="B11" s="15">
        <f>+Revenues!E88</f>
        <v>8144.29</v>
      </c>
      <c r="C11" s="15">
        <f>+Revenues!C88</f>
        <v>4368.04</v>
      </c>
      <c r="D11" s="15">
        <f>+Revenues!D88</f>
        <v>7659.83</v>
      </c>
      <c r="E11" s="16"/>
      <c r="F11" s="16"/>
      <c r="G11" s="16"/>
      <c r="H11" s="17">
        <f>SUM(B11:G11)</f>
        <v>20172.16</v>
      </c>
    </row>
    <row r="12" spans="1:9">
      <c r="A12" s="248" t="s">
        <v>288</v>
      </c>
      <c r="B12" s="19">
        <f>+Revenues!E77</f>
        <v>8103.79</v>
      </c>
      <c r="C12" s="19">
        <f>+Revenues!C77</f>
        <v>4366.37</v>
      </c>
      <c r="D12" s="19">
        <f>+Revenues!D77</f>
        <v>7530.85</v>
      </c>
      <c r="E12" s="20"/>
      <c r="F12" s="20"/>
      <c r="G12" s="20"/>
      <c r="H12" s="21">
        <f>SUM(B12:G12)</f>
        <v>20001.010000000002</v>
      </c>
    </row>
    <row r="13" spans="1:9">
      <c r="A13" s="248" t="s">
        <v>339</v>
      </c>
      <c r="B13" s="19">
        <f>+Revenues!E66</f>
        <v>8252.7565523430494</v>
      </c>
      <c r="C13" s="19">
        <f>+Revenues!C66</f>
        <v>4763.420000000001</v>
      </c>
      <c r="D13" s="19">
        <f>+Revenues!D66</f>
        <v>8265.3352733028987</v>
      </c>
      <c r="E13" s="20"/>
      <c r="F13" s="20"/>
      <c r="G13" s="20"/>
      <c r="H13" s="21">
        <f>SUM(B13:G13)</f>
        <v>21281.51182564595</v>
      </c>
    </row>
    <row r="14" spans="1:9" s="662" customFormat="1">
      <c r="A14" s="248" t="str">
        <f>+'Resource Alloc 12-13'!A13</f>
        <v>09/10 FTES</v>
      </c>
      <c r="B14" s="663">
        <f>+'Resource Alloc 12-13'!B13</f>
        <v>8513.940089362497</v>
      </c>
      <c r="C14" s="663">
        <f>+'Resource Alloc 12-13'!C13</f>
        <v>4639.2721703306916</v>
      </c>
      <c r="D14" s="663">
        <f>+'Resource Alloc 12-13'!D13</f>
        <v>7920.9452163737342</v>
      </c>
      <c r="E14" s="20"/>
      <c r="F14" s="20"/>
      <c r="G14" s="20"/>
      <c r="H14" s="21"/>
      <c r="I14" s="4"/>
    </row>
    <row r="15" spans="1:9" s="662" customFormat="1">
      <c r="A15" s="248" t="str">
        <f>+'Resource Alloc 12-13'!A14</f>
        <v>08/09 FTES</v>
      </c>
      <c r="B15" s="663">
        <f>+'Resource Alloc 12-13'!B14</f>
        <v>8140</v>
      </c>
      <c r="C15" s="663">
        <f>+'Resource Alloc 12-13'!C14</f>
        <v>4776.55</v>
      </c>
      <c r="D15" s="663">
        <f>+'Resource Alloc 12-13'!D14</f>
        <v>9354</v>
      </c>
      <c r="E15" s="20"/>
      <c r="F15" s="20"/>
      <c r="G15" s="20"/>
      <c r="H15" s="21"/>
      <c r="I15" s="4"/>
    </row>
    <row r="16" spans="1:9">
      <c r="A16" s="254" t="s">
        <v>888</v>
      </c>
      <c r="B16" s="22">
        <f>AVERAGE(B11:B15)</f>
        <v>8230.9553283411096</v>
      </c>
      <c r="C16" s="22">
        <f>AVERAGE(C11:C15)</f>
        <v>4582.7304340661385</v>
      </c>
      <c r="D16" s="22">
        <f>AVERAGE(D11:D15)</f>
        <v>8146.1920979353263</v>
      </c>
      <c r="E16" s="23"/>
      <c r="F16" s="23"/>
      <c r="G16" s="23"/>
      <c r="H16" s="24">
        <f>SUM(B16:D16)</f>
        <v>20959.877860342574</v>
      </c>
      <c r="I16" s="4" t="s">
        <v>630</v>
      </c>
    </row>
    <row r="17" spans="1:10">
      <c r="A17" s="25" t="s">
        <v>631</v>
      </c>
      <c r="B17" s="65">
        <f>+B16/$H16</f>
        <v>0.39270053877148786</v>
      </c>
      <c r="C17" s="65">
        <f>+C16/$H16</f>
        <v>0.21864299327511622</v>
      </c>
      <c r="D17" s="65">
        <f>+D16/$H16</f>
        <v>0.38865646795339592</v>
      </c>
      <c r="E17" s="20"/>
      <c r="F17" s="20"/>
      <c r="G17" s="20"/>
      <c r="H17" s="19"/>
    </row>
    <row r="18" spans="1:10">
      <c r="A18" s="25"/>
      <c r="B18" s="26"/>
      <c r="C18" s="26"/>
      <c r="D18" s="26"/>
      <c r="E18" s="20"/>
      <c r="F18" s="20"/>
      <c r="G18" s="20"/>
      <c r="H18" s="19"/>
    </row>
    <row r="19" spans="1:10" s="4" customFormat="1">
      <c r="A19" s="27" t="s">
        <v>632</v>
      </c>
      <c r="B19" s="506"/>
      <c r="C19" s="506"/>
      <c r="D19" s="506"/>
      <c r="E19" s="506"/>
      <c r="F19" s="506"/>
      <c r="G19" s="506"/>
      <c r="H19" s="506"/>
      <c r="J19" s="506"/>
    </row>
    <row r="20" spans="1:10" s="4" customFormat="1">
      <c r="A20" s="20" t="s">
        <v>633</v>
      </c>
      <c r="B20" s="28" t="e">
        <f>0.8*B9</f>
        <v>#REF!</v>
      </c>
      <c r="C20" s="28" t="e">
        <f>0.8*C9</f>
        <v>#REF!</v>
      </c>
      <c r="D20" s="28" t="e">
        <f>0.8*D9</f>
        <v>#REF!</v>
      </c>
      <c r="E20" s="506"/>
      <c r="F20" s="506"/>
      <c r="G20" s="506"/>
      <c r="H20" s="28" t="e">
        <f>SUM(B20:G20)</f>
        <v>#REF!</v>
      </c>
      <c r="J20" s="506"/>
    </row>
    <row r="21" spans="1:10" s="4" customFormat="1">
      <c r="A21" s="20"/>
      <c r="B21" s="506"/>
      <c r="C21" s="506"/>
      <c r="D21" s="506"/>
      <c r="E21" s="506"/>
      <c r="F21" s="506"/>
      <c r="G21" s="506"/>
      <c r="H21" s="506"/>
      <c r="J21" s="506"/>
    </row>
    <row r="22" spans="1:10" s="4" customFormat="1">
      <c r="A22" s="27" t="s">
        <v>982</v>
      </c>
      <c r="B22" s="506"/>
      <c r="C22" s="506"/>
      <c r="D22" s="506"/>
      <c r="E22" s="506"/>
      <c r="F22" s="506"/>
      <c r="G22" s="506"/>
      <c r="H22" s="506"/>
      <c r="J22" s="506"/>
    </row>
    <row r="23" spans="1:10" s="4" customFormat="1">
      <c r="A23" s="20" t="s">
        <v>635</v>
      </c>
      <c r="B23" s="28" t="e">
        <f>+SUM($B9:$D9,-$H20)/$H16*B16</f>
        <v>#REF!</v>
      </c>
      <c r="C23" s="28" t="e">
        <f>+SUM($B9:$D9,-$H20)/$H16*C16</f>
        <v>#REF!</v>
      </c>
      <c r="D23" s="28" t="e">
        <f>+SUM($B9:$D9,-$H20)/$H16*D16</f>
        <v>#REF!</v>
      </c>
      <c r="E23" s="506"/>
      <c r="F23" s="506"/>
      <c r="G23" s="506"/>
      <c r="H23" s="28" t="e">
        <f>SUM(B23:G23)</f>
        <v>#REF!</v>
      </c>
      <c r="J23" s="506"/>
    </row>
    <row r="24" spans="1:10" s="4" customFormat="1">
      <c r="A24" s="20"/>
      <c r="B24" s="506"/>
      <c r="C24" s="506"/>
      <c r="D24" s="506"/>
      <c r="E24" s="506"/>
      <c r="F24" s="506"/>
      <c r="G24" s="506"/>
      <c r="H24" s="506"/>
      <c r="J24" s="506"/>
    </row>
    <row r="25" spans="1:10" s="4" customFormat="1">
      <c r="A25" s="27" t="s">
        <v>941</v>
      </c>
      <c r="B25" s="506"/>
      <c r="C25" s="506"/>
      <c r="D25" s="506"/>
      <c r="E25" s="506"/>
      <c r="F25" s="506"/>
      <c r="G25" s="506"/>
      <c r="H25" s="506"/>
      <c r="J25" s="506"/>
    </row>
    <row r="26" spans="1:10" s="4" customFormat="1">
      <c r="A26" s="20" t="s">
        <v>625</v>
      </c>
      <c r="B26" s="29" t="e">
        <f>+B23+B20</f>
        <v>#REF!</v>
      </c>
      <c r="C26" s="29" t="e">
        <f>+C23+C20</f>
        <v>#REF!</v>
      </c>
      <c r="D26" s="29" t="e">
        <f>+D23+D20</f>
        <v>#REF!</v>
      </c>
      <c r="E26" s="506"/>
      <c r="F26" s="506"/>
      <c r="G26" s="506"/>
      <c r="H26" s="28" t="e">
        <f>SUM(B26:G26)</f>
        <v>#REF!</v>
      </c>
      <c r="J26" s="506"/>
    </row>
    <row r="27" spans="1:10" s="4" customFormat="1">
      <c r="A27" s="25" t="s">
        <v>636</v>
      </c>
      <c r="B27" s="29" t="e">
        <f>+B26-B9</f>
        <v>#REF!</v>
      </c>
      <c r="C27" s="29" t="e">
        <f>+C26-C9</f>
        <v>#REF!</v>
      </c>
      <c r="D27" s="29" t="e">
        <f>+D26-D9</f>
        <v>#REF!</v>
      </c>
      <c r="E27" s="506"/>
      <c r="F27" s="506"/>
      <c r="G27" s="506"/>
      <c r="H27" s="28" t="e">
        <f>SUM(B27:G27)</f>
        <v>#REF!</v>
      </c>
      <c r="J27" s="506"/>
    </row>
    <row r="28" spans="1:10" s="4" customFormat="1">
      <c r="A28" s="25"/>
      <c r="B28" s="506"/>
      <c r="C28" s="506"/>
      <c r="D28" s="506"/>
      <c r="E28" s="506"/>
      <c r="F28" s="506"/>
      <c r="G28" s="506"/>
      <c r="H28" s="506"/>
      <c r="J28" s="506"/>
    </row>
    <row r="29" spans="1:10" s="4" customFormat="1">
      <c r="A29" s="30" t="s">
        <v>637</v>
      </c>
      <c r="B29" s="506"/>
      <c r="C29" s="506"/>
      <c r="D29" s="506"/>
      <c r="E29" s="506"/>
      <c r="F29" s="506"/>
      <c r="G29" s="506"/>
      <c r="H29" s="506"/>
      <c r="J29" s="506"/>
    </row>
    <row r="30" spans="1:10" s="4" customFormat="1">
      <c r="A30" s="25" t="s">
        <v>638</v>
      </c>
      <c r="B30" s="29" t="e">
        <f>MAX(B27,0)</f>
        <v>#REF!</v>
      </c>
      <c r="C30" s="29" t="e">
        <f>MAX(C27,0)</f>
        <v>#REF!</v>
      </c>
      <c r="D30" s="29" t="e">
        <f>MAX(D27,0)</f>
        <v>#REF!</v>
      </c>
      <c r="E30" s="506"/>
      <c r="F30" s="506"/>
      <c r="G30" s="506"/>
      <c r="H30" s="28" t="e">
        <f>SUM(B30:G30)</f>
        <v>#REF!</v>
      </c>
      <c r="J30" s="506"/>
    </row>
    <row r="31" spans="1:10" s="4" customFormat="1">
      <c r="A31" s="25"/>
      <c r="B31" s="29"/>
      <c r="C31" s="29"/>
      <c r="D31" s="29"/>
      <c r="E31" s="506"/>
      <c r="F31" s="506"/>
      <c r="G31" s="506"/>
      <c r="H31" s="28"/>
      <c r="J31" s="506"/>
    </row>
    <row r="33" spans="1:10" s="4" customFormat="1">
      <c r="A33" s="6" t="s">
        <v>639</v>
      </c>
      <c r="B33" s="506"/>
      <c r="C33" s="506"/>
      <c r="D33" s="506"/>
      <c r="E33" s="506"/>
      <c r="F33" s="506"/>
      <c r="G33" s="506"/>
      <c r="H33" s="506"/>
      <c r="J33" s="506"/>
    </row>
    <row r="34" spans="1:10" s="4" customFormat="1">
      <c r="A34" s="7" t="s">
        <v>21</v>
      </c>
      <c r="B34" s="506"/>
      <c r="C34" s="506"/>
      <c r="D34" s="506"/>
      <c r="E34" s="506"/>
      <c r="F34" s="506"/>
      <c r="G34" s="506"/>
      <c r="H34" s="506"/>
      <c r="J34" s="506"/>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 (2)'!Y34:Y51)-SUM('Rev-Exp Plan (2)'!X34:X51)-'Resource Alloc 13-14'!G62-'Resource Alloc 13-14'!G72-G70</f>
        <v>#NAME?</v>
      </c>
      <c r="H36" s="32" t="e">
        <f>SUM(G36)</f>
        <v>#NAME?</v>
      </c>
      <c r="I36" s="4" t="s">
        <v>641</v>
      </c>
    </row>
    <row r="37" spans="1:10">
      <c r="A37" s="16"/>
      <c r="G37" s="28"/>
      <c r="H37" s="29"/>
    </row>
    <row r="38" spans="1:10">
      <c r="A38" s="20"/>
      <c r="G38" s="29"/>
    </row>
    <row r="39" spans="1:10">
      <c r="A39" s="256" t="s">
        <v>935</v>
      </c>
    </row>
    <row r="40" spans="1:10">
      <c r="A40" s="33" t="s">
        <v>824</v>
      </c>
    </row>
    <row r="41" spans="1:10">
      <c r="A41" s="8"/>
      <c r="B41" s="9" t="s">
        <v>619</v>
      </c>
      <c r="C41" s="9" t="s">
        <v>620</v>
      </c>
      <c r="D41" s="9" t="s">
        <v>621</v>
      </c>
      <c r="E41" s="10" t="s">
        <v>622</v>
      </c>
      <c r="F41" s="10" t="s">
        <v>623</v>
      </c>
      <c r="G41" s="10" t="s">
        <v>624</v>
      </c>
      <c r="H41" s="11" t="s">
        <v>625</v>
      </c>
    </row>
    <row r="42" spans="1:10">
      <c r="A42" s="12"/>
      <c r="B42" s="22"/>
      <c r="C42" s="22"/>
      <c r="D42" s="22"/>
      <c r="E42" s="23"/>
      <c r="F42" s="335">
        <f>0</f>
        <v>0</v>
      </c>
      <c r="G42" s="23"/>
      <c r="H42" s="32">
        <f>SUM(F42:G42)</f>
        <v>0</v>
      </c>
      <c r="J42" s="71" t="s">
        <v>22</v>
      </c>
    </row>
    <row r="43" spans="1:10">
      <c r="A43" s="20"/>
      <c r="B43" s="19"/>
      <c r="C43" s="19"/>
      <c r="D43" s="19"/>
      <c r="F43" s="28"/>
      <c r="H43" s="29"/>
    </row>
    <row r="44" spans="1:10">
      <c r="A44" s="20"/>
      <c r="B44" s="19"/>
      <c r="C44" s="19"/>
      <c r="D44" s="19"/>
    </row>
    <row r="45" spans="1:10">
      <c r="A45" s="6" t="s">
        <v>642</v>
      </c>
    </row>
    <row r="46" spans="1:10">
      <c r="A46" s="7" t="s">
        <v>24</v>
      </c>
      <c r="D46" s="7"/>
      <c r="J46" s="34"/>
    </row>
    <row r="47" spans="1:10">
      <c r="A47" s="8"/>
      <c r="B47" s="9" t="s">
        <v>619</v>
      </c>
      <c r="C47" s="9" t="s">
        <v>620</v>
      </c>
      <c r="D47" s="9" t="s">
        <v>621</v>
      </c>
      <c r="E47" s="10" t="s">
        <v>622</v>
      </c>
      <c r="F47" s="10" t="s">
        <v>623</v>
      </c>
      <c r="G47" s="10" t="s">
        <v>624</v>
      </c>
      <c r="H47" s="11" t="s">
        <v>625</v>
      </c>
    </row>
    <row r="48" spans="1:10">
      <c r="A48" s="248" t="s">
        <v>23</v>
      </c>
      <c r="B48" s="19" t="e">
        <f>+[19]Revenues!$E$101</f>
        <v>#REF!</v>
      </c>
      <c r="C48" s="19" t="e">
        <f>+[19]Revenues!$C$101</f>
        <v>#REF!</v>
      </c>
      <c r="D48" s="19" t="e">
        <f>+[19]Revenues!$D$101</f>
        <v>#REF!</v>
      </c>
      <c r="E48" s="20"/>
      <c r="F48" s="20"/>
      <c r="G48" s="19"/>
      <c r="H48" s="35" t="e">
        <f>SUM(B48:G48)</f>
        <v>#REF!</v>
      </c>
    </row>
    <row r="49" spans="1:10">
      <c r="A49" s="248" t="s">
        <v>889</v>
      </c>
      <c r="B49" s="36" t="e">
        <f>AVERAGE(B48,B11,B12,B13,B14)</f>
        <v>#REF!</v>
      </c>
      <c r="C49" s="36" t="e">
        <f>AVERAGE(C48,C11,C12,C13,C14)</f>
        <v>#REF!</v>
      </c>
      <c r="D49" s="36" t="e">
        <f>AVERAGE(D48,D11,D12,D13,D14)</f>
        <v>#REF!</v>
      </c>
      <c r="E49" s="20"/>
      <c r="F49" s="20"/>
      <c r="G49" s="20">
        <f>+G48/3</f>
        <v>0</v>
      </c>
      <c r="H49" s="35" t="e">
        <f>SUM(B49:G49)</f>
        <v>#REF!</v>
      </c>
    </row>
    <row r="50" spans="1:10">
      <c r="A50" s="254" t="s">
        <v>890</v>
      </c>
      <c r="B50" s="37" t="e">
        <f>+B49-(B16)</f>
        <v>#REF!</v>
      </c>
      <c r="C50" s="37" t="e">
        <f>+C49-(C16)</f>
        <v>#REF!</v>
      </c>
      <c r="D50" s="37" t="e">
        <f>+D49-(D16)</f>
        <v>#REF!</v>
      </c>
      <c r="E50" s="23"/>
      <c r="F50" s="23"/>
      <c r="G50" s="23">
        <f>+G49</f>
        <v>0</v>
      </c>
      <c r="H50" s="38" t="e">
        <f>SUM(B50:G50)</f>
        <v>#REF!</v>
      </c>
      <c r="J50" s="39"/>
    </row>
    <row r="51" spans="1:10">
      <c r="A51" s="7" t="s">
        <v>25</v>
      </c>
    </row>
    <row r="52" spans="1:10">
      <c r="A52" s="7"/>
      <c r="H52" s="488" t="e">
        <f>+ROUND((4366*H50-F42)/(1+C125+C124)/H50,)</f>
        <v>#REF!</v>
      </c>
    </row>
    <row r="53" spans="1:10">
      <c r="A53" s="8" t="s">
        <v>646</v>
      </c>
      <c r="B53" s="40" t="e">
        <f>3729*B50</f>
        <v>#REF!</v>
      </c>
      <c r="C53" s="40" t="e">
        <f>3729*C50</f>
        <v>#REF!</v>
      </c>
      <c r="D53" s="40" t="e">
        <f>3729*D50</f>
        <v>#REF!</v>
      </c>
      <c r="E53" s="16"/>
      <c r="F53" s="16"/>
      <c r="G53" s="40">
        <f>3600*G50</f>
        <v>0</v>
      </c>
      <c r="H53" s="41" t="e">
        <f>SUM(B53:G53)</f>
        <v>#REF!</v>
      </c>
      <c r="J53" s="506">
        <f>3729*(1+Assumptions!I93)</f>
        <v>3787.5453000000002</v>
      </c>
    </row>
    <row r="54" spans="1:10" s="731" customFormat="1">
      <c r="A54" s="254" t="s">
        <v>914</v>
      </c>
      <c r="B54" s="31" t="e">
        <f>+'[15]13-14'!$D$13-'[15]12-13'!$D$13</f>
        <v>#REF!</v>
      </c>
      <c r="C54" s="31" t="e">
        <f>+'[15]13-14'!$B$13-'[15]12-13'!$B$13</f>
        <v>#REF!</v>
      </c>
      <c r="D54" s="31" t="e">
        <f>+'[15]13-14'!$C$13-'[15]12-13'!$C$13</f>
        <v>#REF!</v>
      </c>
      <c r="E54" s="23"/>
      <c r="F54" s="23"/>
      <c r="G54" s="31"/>
      <c r="H54" s="32" t="e">
        <f>SUM(B54:G54)</f>
        <v>#REF!</v>
      </c>
      <c r="I54" s="4"/>
    </row>
    <row r="55" spans="1:10" s="731" customFormat="1">
      <c r="A55" s="254" t="s">
        <v>625</v>
      </c>
      <c r="B55" s="31" t="e">
        <f>SUM(B53:B54)</f>
        <v>#REF!</v>
      </c>
      <c r="C55" s="31" t="e">
        <f>SUM(C53:C54)</f>
        <v>#REF!</v>
      </c>
      <c r="D55" s="31" t="e">
        <f>SUM(D53:D54)</f>
        <v>#REF!</v>
      </c>
      <c r="E55" s="23"/>
      <c r="F55" s="23"/>
      <c r="G55" s="23"/>
      <c r="H55" s="32" t="e">
        <f>SUM(B55:G55)</f>
        <v>#REF!</v>
      </c>
      <c r="I55" s="4" t="s">
        <v>647</v>
      </c>
    </row>
    <row r="57" spans="1:10">
      <c r="A57" s="256" t="s">
        <v>891</v>
      </c>
      <c r="H57" s="42"/>
    </row>
    <row r="58" spans="1:10">
      <c r="A58" s="43" t="s">
        <v>892</v>
      </c>
    </row>
    <row r="59" spans="1:10">
      <c r="A59" s="8"/>
      <c r="B59" s="44" t="s">
        <v>619</v>
      </c>
      <c r="C59" s="44" t="s">
        <v>620</v>
      </c>
      <c r="D59" s="44" t="s">
        <v>621</v>
      </c>
      <c r="E59" s="45" t="s">
        <v>622</v>
      </c>
      <c r="F59" s="45" t="s">
        <v>623</v>
      </c>
      <c r="G59" s="45" t="s">
        <v>624</v>
      </c>
      <c r="H59" s="46" t="s">
        <v>625</v>
      </c>
    </row>
    <row r="60" spans="1:10">
      <c r="A60" s="20" t="s">
        <v>646</v>
      </c>
      <c r="B60" s="20"/>
      <c r="C60" s="20"/>
      <c r="D60" s="20"/>
      <c r="E60" s="13" t="e">
        <f>C125*H53</f>
        <v>#REF!</v>
      </c>
      <c r="F60" s="13" t="e">
        <f>C124*H53</f>
        <v>#REF!</v>
      </c>
      <c r="G60" s="20"/>
      <c r="H60" s="58" t="e">
        <f>SUM(E60:G60)</f>
        <v>#REF!</v>
      </c>
      <c r="I60" s="4" t="s">
        <v>648</v>
      </c>
    </row>
    <row r="61" spans="1:10" s="731" customFormat="1">
      <c r="A61" s="254" t="s">
        <v>914</v>
      </c>
      <c r="B61" s="23"/>
      <c r="C61" s="23"/>
      <c r="D61" s="23"/>
      <c r="E61" s="31" t="e">
        <f>+'[15]13-14'!$E$13-'[15]12-13'!$E$13</f>
        <v>#REF!</v>
      </c>
      <c r="F61" s="31"/>
      <c r="G61" s="31" t="e">
        <f>+'[15]13-14'!$F$13+'[15]13-14'!$G$15-'[15]12-13'!$F$13-'[15]12-13'!$G$15</f>
        <v>#REF!</v>
      </c>
      <c r="H61" s="32" t="e">
        <f>SUM(B61:G61)</f>
        <v>#REF!</v>
      </c>
      <c r="I61" s="4"/>
    </row>
    <row r="62" spans="1:10" s="731" customFormat="1">
      <c r="A62" s="254" t="s">
        <v>625</v>
      </c>
      <c r="B62" s="31">
        <f t="shared" ref="B62:G62" si="0">SUM(B60:B61)</f>
        <v>0</v>
      </c>
      <c r="C62" s="31">
        <f t="shared" si="0"/>
        <v>0</v>
      </c>
      <c r="D62" s="31">
        <f t="shared" si="0"/>
        <v>0</v>
      </c>
      <c r="E62" s="63" t="e">
        <f t="shared" si="0"/>
        <v>#REF!</v>
      </c>
      <c r="F62" s="63" t="e">
        <f t="shared" si="0"/>
        <v>#REF!</v>
      </c>
      <c r="G62" s="63" t="e">
        <f t="shared" si="0"/>
        <v>#REF!</v>
      </c>
      <c r="H62" s="32" t="e">
        <f>SUM(B62:G62)</f>
        <v>#REF!</v>
      </c>
      <c r="I62" s="4"/>
    </row>
    <row r="63" spans="1:10">
      <c r="E63" s="28"/>
      <c r="F63" s="28"/>
      <c r="H63" s="29"/>
    </row>
    <row r="65" spans="1:9">
      <c r="A65" s="6" t="s">
        <v>649</v>
      </c>
    </row>
    <row r="66" spans="1:9">
      <c r="A66" s="7" t="s">
        <v>26</v>
      </c>
    </row>
    <row r="67" spans="1:9">
      <c r="A67" s="8"/>
      <c r="B67" s="44" t="s">
        <v>619</v>
      </c>
      <c r="C67" s="44" t="s">
        <v>620</v>
      </c>
      <c r="D67" s="44" t="s">
        <v>621</v>
      </c>
      <c r="E67" s="45" t="s">
        <v>622</v>
      </c>
      <c r="F67" s="45" t="s">
        <v>623</v>
      </c>
      <c r="G67" s="45" t="s">
        <v>624</v>
      </c>
      <c r="H67" s="46" t="s">
        <v>625</v>
      </c>
    </row>
    <row r="68" spans="1:9">
      <c r="A68" s="47" t="s">
        <v>650</v>
      </c>
      <c r="B68" s="13" t="e">
        <f>+'[20]13-14 Allocation '!$E$15</f>
        <v>#REF!</v>
      </c>
      <c r="C68" s="13" t="e">
        <f>+'[20]13-14 Allocation '!$B$15</f>
        <v>#REF!</v>
      </c>
      <c r="D68" s="13" t="e">
        <f>+'[20]13-14 Allocation '!$C$15</f>
        <v>#REF!</v>
      </c>
      <c r="E68" s="13" t="e">
        <f>+'[20]13-14 Allocation '!$F$15</f>
        <v>#REF!</v>
      </c>
      <c r="F68" s="13" t="e">
        <f>+'[20]13-14 Allocation '!$G$15</f>
        <v>#REF!</v>
      </c>
      <c r="G68" s="13" t="e">
        <f>+COLA!B39-SUM(B68:F68)</f>
        <v>#NAME?</v>
      </c>
      <c r="H68" s="14" t="e">
        <f>SUM(B68:G68)</f>
        <v>#REF!</v>
      </c>
      <c r="I68" s="4" t="s">
        <v>651</v>
      </c>
    </row>
    <row r="69" spans="1:9">
      <c r="A69" s="47" t="s">
        <v>476</v>
      </c>
      <c r="B69" s="13" t="e">
        <f>+'[20]13-14 Allocation '!$E$28</f>
        <v>#REF!</v>
      </c>
      <c r="C69" s="13" t="e">
        <f>+'[20]13-14 Allocation '!$B$28</f>
        <v>#REF!</v>
      </c>
      <c r="D69" s="13" t="e">
        <f>+'[20]13-14 Allocation '!$C$28</f>
        <v>#REF!</v>
      </c>
      <c r="E69" s="13" t="e">
        <f>+'[20]13-14 Allocation '!$F$28</f>
        <v>#REF!</v>
      </c>
      <c r="F69" s="13" t="e">
        <f>+'[20]13-14 Allocation '!$G$28</f>
        <v>#REF!</v>
      </c>
      <c r="G69" s="13" t="e">
        <f>+'Rev-Exp Plan'!Y41-'Rev-Exp Plan'!X41-SUM(B69:F69)</f>
        <v>#REF!</v>
      </c>
      <c r="H69" s="14" t="e">
        <f>SUM(B69:G69)</f>
        <v>#REF!</v>
      </c>
    </row>
    <row r="70" spans="1:9" s="772" customFormat="1">
      <c r="A70" s="47" t="s">
        <v>947</v>
      </c>
      <c r="B70" s="13" t="e">
        <f>-[21]Sheet1!$D$17</f>
        <v>#REF!</v>
      </c>
      <c r="C70" s="13" t="e">
        <f>-[21]Sheet1!$D$33</f>
        <v>#REF!</v>
      </c>
      <c r="D70" s="13" t="e">
        <f>-[21]Sheet1!$D$48</f>
        <v>#REF!</v>
      </c>
      <c r="E70" s="13" t="e">
        <f>-[21]Sheet1!$D$60</f>
        <v>#REF!</v>
      </c>
      <c r="F70" s="13"/>
      <c r="G70" s="13"/>
      <c r="H70" s="14" t="e">
        <f>SUM(B70:G70)</f>
        <v>#REF!</v>
      </c>
      <c r="I70" s="4"/>
    </row>
    <row r="71" spans="1:9">
      <c r="A71" s="47" t="s">
        <v>166</v>
      </c>
      <c r="B71" s="13">
        <f>-379.42*12</f>
        <v>-4553.04</v>
      </c>
      <c r="C71" s="13">
        <f>-379.42*12</f>
        <v>-4553.04</v>
      </c>
      <c r="D71" s="13">
        <f>95000-379.42*12</f>
        <v>90446.96</v>
      </c>
      <c r="E71" s="13">
        <v>350000</v>
      </c>
      <c r="F71" s="13">
        <f>+'Sq Ft'!Q76-'Sq Ft'!J77+203133</f>
        <v>122735.42999999993</v>
      </c>
      <c r="G71" s="13">
        <f>379.42*12*3</f>
        <v>13659.119999999999</v>
      </c>
      <c r="H71" s="14">
        <f>SUM(B71:G71)</f>
        <v>567735.42999999993</v>
      </c>
    </row>
    <row r="72" spans="1:9">
      <c r="A72" s="50"/>
      <c r="B72" s="52" t="e">
        <f>SUM(B68:B71)</f>
        <v>#REF!</v>
      </c>
      <c r="C72" s="52" t="e">
        <f t="shared" ref="C72:H72" si="1">SUM(C68:C71)</f>
        <v>#REF!</v>
      </c>
      <c r="D72" s="52" t="e">
        <f t="shared" si="1"/>
        <v>#REF!</v>
      </c>
      <c r="E72" s="52" t="e">
        <f t="shared" si="1"/>
        <v>#REF!</v>
      </c>
      <c r="F72" s="52" t="e">
        <f t="shared" si="1"/>
        <v>#REF!</v>
      </c>
      <c r="G72" s="52" t="e">
        <f t="shared" si="1"/>
        <v>#NAME?</v>
      </c>
      <c r="H72" s="52" t="e">
        <f t="shared" si="1"/>
        <v>#REF!</v>
      </c>
    </row>
    <row r="73" spans="1:9">
      <c r="A73" s="54"/>
    </row>
    <row r="75" spans="1:9">
      <c r="A75" s="6" t="s">
        <v>653</v>
      </c>
    </row>
    <row r="76" spans="1:9">
      <c r="A76" s="7" t="s">
        <v>338</v>
      </c>
    </row>
    <row r="77" spans="1:9">
      <c r="A77" s="7" t="s">
        <v>654</v>
      </c>
    </row>
    <row r="78" spans="1:9">
      <c r="A78" s="506" t="s">
        <v>655</v>
      </c>
      <c r="B78" s="29" t="e">
        <f>+H9</f>
        <v>#REF!</v>
      </c>
      <c r="D78" s="71" t="s">
        <v>240</v>
      </c>
      <c r="E78" s="55">
        <f>+Revenues!F86</f>
        <v>18987.543651284683</v>
      </c>
      <c r="F78" s="506" t="s">
        <v>656</v>
      </c>
    </row>
    <row r="79" spans="1:9">
      <c r="A79" s="71" t="s">
        <v>119</v>
      </c>
      <c r="B79" s="28">
        <f>+'SB361'!J18</f>
        <v>0</v>
      </c>
      <c r="D79" s="71" t="s">
        <v>23</v>
      </c>
      <c r="E79" s="39">
        <f>+Revenues!F99</f>
        <v>18479.842778023292</v>
      </c>
      <c r="F79" s="506" t="s">
        <v>657</v>
      </c>
    </row>
    <row r="80" spans="1:9">
      <c r="A80" s="506" t="s">
        <v>652</v>
      </c>
      <c r="B80" s="28">
        <f>+'SB361'!K19</f>
        <v>-4927183.0024196235</v>
      </c>
      <c r="D80" s="506" t="s">
        <v>658</v>
      </c>
      <c r="E80" s="39">
        <f>MAX(E79-E78,0)</f>
        <v>0</v>
      </c>
    </row>
    <row r="81" spans="1:10">
      <c r="A81" s="506" t="s">
        <v>659</v>
      </c>
      <c r="B81" s="28" t="e">
        <f>+'Rev-Exp Plan'!Y25-SUM('Resource Alloc 13-14'!B78:B80)-'Rev-Exp Plan (2)'!Y11</f>
        <v>#REF!</v>
      </c>
      <c r="D81" s="54" t="s">
        <v>478</v>
      </c>
      <c r="E81" s="56">
        <v>0</v>
      </c>
      <c r="F81" s="181"/>
      <c r="I81" s="4" t="s">
        <v>641</v>
      </c>
    </row>
    <row r="82" spans="1:10">
      <c r="A82" s="71" t="s">
        <v>866</v>
      </c>
      <c r="B82" s="57" t="e">
        <f>SUM(B78:B81)</f>
        <v>#REF!</v>
      </c>
      <c r="D82" s="71" t="s">
        <v>344</v>
      </c>
      <c r="E82" s="55">
        <v>0</v>
      </c>
    </row>
    <row r="83" spans="1:10">
      <c r="A83" s="506" t="s">
        <v>660</v>
      </c>
      <c r="B83" s="29" t="e">
        <f>+B82-B78</f>
        <v>#REF!</v>
      </c>
    </row>
    <row r="84" spans="1:10">
      <c r="A84" s="71" t="s">
        <v>880</v>
      </c>
      <c r="B84" s="29" t="e">
        <f>+B83-E81-E82</f>
        <v>#REF!</v>
      </c>
      <c r="C84" s="243"/>
    </row>
    <row r="85" spans="1:10">
      <c r="A85" s="506" t="s">
        <v>661</v>
      </c>
      <c r="C85" s="29"/>
    </row>
    <row r="86" spans="1:10">
      <c r="A86" s="506" t="s">
        <v>662</v>
      </c>
      <c r="B86" s="29" t="e">
        <f>+H30</f>
        <v>#REF!</v>
      </c>
    </row>
    <row r="87" spans="1:10">
      <c r="A87" s="506" t="s">
        <v>663</v>
      </c>
      <c r="B87" s="29" t="e">
        <f>+H36</f>
        <v>#NAME?</v>
      </c>
    </row>
    <row r="88" spans="1:10" s="4" customFormat="1">
      <c r="A88" s="506" t="s">
        <v>664</v>
      </c>
      <c r="B88" s="29">
        <f>+H42</f>
        <v>0</v>
      </c>
      <c r="C88" s="506"/>
      <c r="D88" s="506"/>
      <c r="E88" s="506"/>
      <c r="F88" s="506"/>
      <c r="G88" s="506"/>
      <c r="H88" s="506"/>
      <c r="J88" s="506"/>
    </row>
    <row r="89" spans="1:10" s="4" customFormat="1">
      <c r="A89" s="506" t="s">
        <v>665</v>
      </c>
      <c r="B89" s="29" t="e">
        <f>+H55</f>
        <v>#REF!</v>
      </c>
      <c r="C89" s="506"/>
      <c r="D89" s="506"/>
      <c r="E89" s="506"/>
      <c r="F89" s="506"/>
      <c r="G89" s="506"/>
      <c r="H89" s="506"/>
      <c r="J89" s="506"/>
    </row>
    <row r="90" spans="1:10" s="4" customFormat="1">
      <c r="A90" s="506" t="s">
        <v>666</v>
      </c>
      <c r="B90" s="29" t="e">
        <f>+H62</f>
        <v>#REF!</v>
      </c>
      <c r="C90" s="506"/>
      <c r="D90" s="506"/>
      <c r="E90" s="506"/>
      <c r="F90" s="506"/>
      <c r="G90" s="506"/>
      <c r="H90" s="506"/>
      <c r="J90" s="506"/>
    </row>
    <row r="91" spans="1:10" s="4" customFormat="1">
      <c r="A91" s="506" t="s">
        <v>667</v>
      </c>
      <c r="B91" s="29" t="e">
        <f>+H72</f>
        <v>#REF!</v>
      </c>
      <c r="C91" s="506"/>
      <c r="D91" s="506"/>
      <c r="E91" s="506"/>
      <c r="F91" s="506"/>
      <c r="G91" s="506"/>
      <c r="H91" s="506"/>
      <c r="J91" s="506"/>
    </row>
    <row r="92" spans="1:10" s="4" customFormat="1">
      <c r="A92" s="506"/>
      <c r="B92" s="57" t="e">
        <f>SUM(B86:B91)</f>
        <v>#REF!</v>
      </c>
      <c r="C92" s="506"/>
      <c r="D92" s="506"/>
      <c r="E92" s="506"/>
      <c r="F92" s="506"/>
      <c r="G92" s="506"/>
      <c r="H92" s="506"/>
      <c r="J92" s="506"/>
    </row>
    <row r="93" spans="1:10" s="4" customFormat="1">
      <c r="A93" s="506" t="s">
        <v>668</v>
      </c>
      <c r="B93" s="29" t="e">
        <f>+B84-B92</f>
        <v>#REF!</v>
      </c>
      <c r="C93" s="506"/>
      <c r="D93" s="506"/>
      <c r="E93" s="506"/>
      <c r="F93" s="506"/>
      <c r="G93" s="506"/>
      <c r="H93" s="506"/>
      <c r="J93" s="506"/>
    </row>
    <row r="94" spans="1:10" s="4" customFormat="1">
      <c r="A94" s="506"/>
      <c r="B94" s="29"/>
      <c r="C94" s="506"/>
      <c r="D94" s="506"/>
      <c r="E94" s="506"/>
      <c r="F94" s="506"/>
      <c r="G94" s="506"/>
      <c r="H94" s="506"/>
      <c r="J94" s="506"/>
    </row>
    <row r="95" spans="1:10" s="4" customFormat="1">
      <c r="A95" s="8"/>
      <c r="B95" s="9" t="s">
        <v>619</v>
      </c>
      <c r="C95" s="9" t="s">
        <v>620</v>
      </c>
      <c r="D95" s="9" t="s">
        <v>621</v>
      </c>
      <c r="E95" s="10" t="s">
        <v>622</v>
      </c>
      <c r="F95" s="10" t="s">
        <v>623</v>
      </c>
      <c r="G95" s="10" t="s">
        <v>624</v>
      </c>
      <c r="H95" s="11" t="s">
        <v>625</v>
      </c>
      <c r="J95" s="506"/>
    </row>
    <row r="96" spans="1:10" s="4" customFormat="1">
      <c r="A96" s="248" t="s">
        <v>246</v>
      </c>
      <c r="B96" s="58" t="e">
        <f>+B9</f>
        <v>#REF!</v>
      </c>
      <c r="C96" s="58" t="e">
        <f>+C9</f>
        <v>#REF!</v>
      </c>
      <c r="D96" s="58" t="e">
        <f>+D9</f>
        <v>#REF!</v>
      </c>
      <c r="E96" s="58" t="e">
        <f>+E9</f>
        <v>#REF!</v>
      </c>
      <c r="F96" s="58" t="e">
        <f>+F9</f>
        <v>#REF!</v>
      </c>
      <c r="G96" s="59" t="s">
        <v>669</v>
      </c>
      <c r="H96" s="49" t="e">
        <f>SUM(B96:G96)</f>
        <v>#REF!</v>
      </c>
      <c r="J96" s="506"/>
    </row>
    <row r="97" spans="1:10" s="4" customFormat="1">
      <c r="A97" s="60" t="s">
        <v>670</v>
      </c>
      <c r="B97" s="26" t="e">
        <f>+B96/$H96</f>
        <v>#REF!</v>
      </c>
      <c r="C97" s="26" t="e">
        <f>+C96/$H96</f>
        <v>#REF!</v>
      </c>
      <c r="D97" s="26" t="e">
        <f>+D96/$H96</f>
        <v>#REF!</v>
      </c>
      <c r="E97" s="26" t="e">
        <f>+E96/$H96</f>
        <v>#REF!</v>
      </c>
      <c r="F97" s="26" t="e">
        <f>+F96/$H96</f>
        <v>#REF!</v>
      </c>
      <c r="G97" s="26"/>
      <c r="H97" s="61"/>
      <c r="J97" s="506"/>
    </row>
    <row r="98" spans="1:10" s="4" customFormat="1">
      <c r="A98" s="62" t="s">
        <v>671</v>
      </c>
      <c r="B98" s="31" t="e">
        <f t="shared" ref="B98:G98" si="2">+B97*$B93</f>
        <v>#REF!</v>
      </c>
      <c r="C98" s="31" t="e">
        <f t="shared" si="2"/>
        <v>#REF!</v>
      </c>
      <c r="D98" s="31" t="e">
        <f t="shared" si="2"/>
        <v>#REF!</v>
      </c>
      <c r="E98" s="31" t="e">
        <f t="shared" si="2"/>
        <v>#REF!</v>
      </c>
      <c r="F98" s="31" t="e">
        <f t="shared" si="2"/>
        <v>#REF!</v>
      </c>
      <c r="G98" s="31" t="e">
        <f t="shared" si="2"/>
        <v>#REF!</v>
      </c>
      <c r="H98" s="32" t="e">
        <f>SUM(B98:G98)</f>
        <v>#REF!</v>
      </c>
      <c r="J98" s="506"/>
    </row>
    <row r="99" spans="1:10" s="4" customFormat="1">
      <c r="A99" s="25"/>
      <c r="B99" s="28"/>
      <c r="C99" s="28"/>
      <c r="D99" s="28"/>
      <c r="E99" s="28"/>
      <c r="F99" s="28"/>
      <c r="G99" s="28"/>
      <c r="H99" s="29"/>
      <c r="J99" s="506"/>
    </row>
    <row r="101" spans="1:10" s="4" customFormat="1">
      <c r="A101" s="506" t="s">
        <v>672</v>
      </c>
      <c r="B101" s="506"/>
      <c r="C101" s="506"/>
      <c r="D101" s="506"/>
      <c r="E101" s="506"/>
      <c r="F101" s="506"/>
      <c r="G101" s="506"/>
      <c r="H101" s="506"/>
      <c r="J101" s="506"/>
    </row>
    <row r="102" spans="1:10" s="4" customFormat="1">
      <c r="A102" s="7" t="s">
        <v>28</v>
      </c>
      <c r="B102" s="506"/>
      <c r="C102" s="506"/>
      <c r="D102" s="506"/>
      <c r="E102" s="506"/>
      <c r="F102" s="506"/>
      <c r="G102" s="506"/>
      <c r="H102" s="506"/>
      <c r="J102" s="506"/>
    </row>
    <row r="103" spans="1:10" s="4" customFormat="1">
      <c r="A103" s="8"/>
      <c r="B103" s="9" t="s">
        <v>619</v>
      </c>
      <c r="C103" s="9" t="s">
        <v>620</v>
      </c>
      <c r="D103" s="9" t="s">
        <v>621</v>
      </c>
      <c r="E103" s="10" t="s">
        <v>622</v>
      </c>
      <c r="F103" s="10" t="s">
        <v>623</v>
      </c>
      <c r="G103" s="10" t="s">
        <v>624</v>
      </c>
      <c r="H103" s="11" t="s">
        <v>625</v>
      </c>
      <c r="J103" s="506"/>
    </row>
    <row r="104" spans="1:10" s="4" customFormat="1">
      <c r="A104" s="248" t="s">
        <v>246</v>
      </c>
      <c r="B104" s="13" t="e">
        <f t="shared" ref="B104:G104" si="3">+B9</f>
        <v>#REF!</v>
      </c>
      <c r="C104" s="13" t="e">
        <f t="shared" si="3"/>
        <v>#REF!</v>
      </c>
      <c r="D104" s="13" t="e">
        <f t="shared" si="3"/>
        <v>#REF!</v>
      </c>
      <c r="E104" s="13" t="e">
        <f t="shared" si="3"/>
        <v>#REF!</v>
      </c>
      <c r="F104" s="13" t="e">
        <f t="shared" si="3"/>
        <v>#REF!</v>
      </c>
      <c r="G104" s="13" t="e">
        <f t="shared" si="3"/>
        <v>#REF!</v>
      </c>
      <c r="H104" s="14" t="e">
        <f t="shared" ref="H104:H111" si="4">SUM(B104:G104)</f>
        <v>#REF!</v>
      </c>
      <c r="J104" s="506"/>
    </row>
    <row r="105" spans="1:10" s="4" customFormat="1">
      <c r="A105" s="18" t="s">
        <v>662</v>
      </c>
      <c r="B105" s="58" t="e">
        <f t="shared" ref="B105:G105" si="5">+B30</f>
        <v>#REF!</v>
      </c>
      <c r="C105" s="58" t="e">
        <f t="shared" si="5"/>
        <v>#REF!</v>
      </c>
      <c r="D105" s="58" t="e">
        <f t="shared" si="5"/>
        <v>#REF!</v>
      </c>
      <c r="E105" s="58">
        <f t="shared" si="5"/>
        <v>0</v>
      </c>
      <c r="F105" s="58">
        <f t="shared" si="5"/>
        <v>0</v>
      </c>
      <c r="G105" s="58">
        <f t="shared" si="5"/>
        <v>0</v>
      </c>
      <c r="H105" s="49" t="e">
        <f t="shared" si="4"/>
        <v>#REF!</v>
      </c>
      <c r="J105" s="506"/>
    </row>
    <row r="106" spans="1:10" s="4" customFormat="1">
      <c r="A106" s="18" t="s">
        <v>673</v>
      </c>
      <c r="B106" s="13">
        <f t="shared" ref="B106:G106" si="6">+B36</f>
        <v>0</v>
      </c>
      <c r="C106" s="13">
        <f t="shared" si="6"/>
        <v>0</v>
      </c>
      <c r="D106" s="13">
        <f t="shared" si="6"/>
        <v>0</v>
      </c>
      <c r="E106" s="13">
        <f t="shared" si="6"/>
        <v>0</v>
      </c>
      <c r="F106" s="13">
        <f t="shared" si="6"/>
        <v>0</v>
      </c>
      <c r="G106" s="13" t="e">
        <f t="shared" si="6"/>
        <v>#NAME?</v>
      </c>
      <c r="H106" s="49" t="e">
        <f t="shared" si="4"/>
        <v>#NAME?</v>
      </c>
      <c r="J106" s="506"/>
    </row>
    <row r="107" spans="1:10" s="4" customFormat="1">
      <c r="A107" s="18" t="s">
        <v>664</v>
      </c>
      <c r="B107" s="13">
        <f t="shared" ref="B107:G107" si="7">+B42</f>
        <v>0</v>
      </c>
      <c r="C107" s="13">
        <f t="shared" si="7"/>
        <v>0</v>
      </c>
      <c r="D107" s="13">
        <f t="shared" si="7"/>
        <v>0</v>
      </c>
      <c r="E107" s="13">
        <f t="shared" si="7"/>
        <v>0</v>
      </c>
      <c r="F107" s="13">
        <f t="shared" si="7"/>
        <v>0</v>
      </c>
      <c r="G107" s="13">
        <f t="shared" si="7"/>
        <v>0</v>
      </c>
      <c r="H107" s="49">
        <f t="shared" si="4"/>
        <v>0</v>
      </c>
      <c r="J107" s="506"/>
    </row>
    <row r="108" spans="1:10" s="4" customFormat="1">
      <c r="A108" s="18" t="s">
        <v>665</v>
      </c>
      <c r="B108" s="58" t="e">
        <f t="shared" ref="B108:G108" si="8">+B55</f>
        <v>#REF!</v>
      </c>
      <c r="C108" s="58" t="e">
        <f t="shared" si="8"/>
        <v>#REF!</v>
      </c>
      <c r="D108" s="58" t="e">
        <f t="shared" si="8"/>
        <v>#REF!</v>
      </c>
      <c r="E108" s="58">
        <f t="shared" si="8"/>
        <v>0</v>
      </c>
      <c r="F108" s="58">
        <f t="shared" si="8"/>
        <v>0</v>
      </c>
      <c r="G108" s="58">
        <f t="shared" si="8"/>
        <v>0</v>
      </c>
      <c r="H108" s="49" t="e">
        <f t="shared" si="4"/>
        <v>#REF!</v>
      </c>
      <c r="J108" s="29"/>
    </row>
    <row r="109" spans="1:10" s="4" customFormat="1">
      <c r="A109" s="18" t="s">
        <v>666</v>
      </c>
      <c r="B109" s="13">
        <f t="shared" ref="B109:G109" si="9">+B62</f>
        <v>0</v>
      </c>
      <c r="C109" s="13">
        <f t="shared" si="9"/>
        <v>0</v>
      </c>
      <c r="D109" s="13">
        <f t="shared" si="9"/>
        <v>0</v>
      </c>
      <c r="E109" s="13" t="e">
        <f t="shared" si="9"/>
        <v>#REF!</v>
      </c>
      <c r="F109" s="13" t="e">
        <f t="shared" si="9"/>
        <v>#REF!</v>
      </c>
      <c r="G109" s="13" t="e">
        <f t="shared" si="9"/>
        <v>#REF!</v>
      </c>
      <c r="H109" s="49" t="e">
        <f t="shared" si="4"/>
        <v>#REF!</v>
      </c>
      <c r="J109" s="506"/>
    </row>
    <row r="110" spans="1:10" s="4" customFormat="1">
      <c r="A110" s="18" t="s">
        <v>667</v>
      </c>
      <c r="B110" s="13" t="e">
        <f t="shared" ref="B110:G110" si="10">+B72</f>
        <v>#REF!</v>
      </c>
      <c r="C110" s="13" t="e">
        <f t="shared" si="10"/>
        <v>#REF!</v>
      </c>
      <c r="D110" s="13" t="e">
        <f t="shared" si="10"/>
        <v>#REF!</v>
      </c>
      <c r="E110" s="13" t="e">
        <f t="shared" si="10"/>
        <v>#REF!</v>
      </c>
      <c r="F110" s="13" t="e">
        <f t="shared" si="10"/>
        <v>#REF!</v>
      </c>
      <c r="G110" s="13" t="e">
        <f t="shared" si="10"/>
        <v>#NAME?</v>
      </c>
      <c r="H110" s="49" t="e">
        <f t="shared" si="4"/>
        <v>#REF!</v>
      </c>
      <c r="J110" s="506"/>
    </row>
    <row r="111" spans="1:10" s="4" customFormat="1">
      <c r="A111" s="18" t="s">
        <v>674</v>
      </c>
      <c r="B111" s="63" t="e">
        <f t="shared" ref="B111:G111" si="11">+B98</f>
        <v>#REF!</v>
      </c>
      <c r="C111" s="63" t="e">
        <f t="shared" si="11"/>
        <v>#REF!</v>
      </c>
      <c r="D111" s="63" t="e">
        <f t="shared" si="11"/>
        <v>#REF!</v>
      </c>
      <c r="E111" s="63" t="e">
        <f t="shared" si="11"/>
        <v>#REF!</v>
      </c>
      <c r="F111" s="63" t="e">
        <f t="shared" si="11"/>
        <v>#REF!</v>
      </c>
      <c r="G111" s="63" t="e">
        <f t="shared" si="11"/>
        <v>#REF!</v>
      </c>
      <c r="H111" s="32" t="e">
        <f t="shared" si="4"/>
        <v>#REF!</v>
      </c>
      <c r="J111" s="506"/>
    </row>
    <row r="112" spans="1:10" s="4" customFormat="1">
      <c r="A112" s="18" t="s">
        <v>675</v>
      </c>
      <c r="B112" s="63" t="e">
        <f t="shared" ref="B112:H112" si="12">SUM(B105:B111)</f>
        <v>#REF!</v>
      </c>
      <c r="C112" s="63" t="e">
        <f t="shared" si="12"/>
        <v>#REF!</v>
      </c>
      <c r="D112" s="63" t="e">
        <f t="shared" si="12"/>
        <v>#REF!</v>
      </c>
      <c r="E112" s="63" t="e">
        <f t="shared" si="12"/>
        <v>#REF!</v>
      </c>
      <c r="F112" s="63" t="e">
        <f t="shared" si="12"/>
        <v>#REF!</v>
      </c>
      <c r="G112" s="63" t="e">
        <f t="shared" si="12"/>
        <v>#NAME?</v>
      </c>
      <c r="H112" s="32" t="e">
        <f t="shared" si="12"/>
        <v>#REF!</v>
      </c>
      <c r="J112" s="506"/>
    </row>
    <row r="113" spans="1:10" s="4" customFormat="1">
      <c r="A113" s="8"/>
      <c r="B113" s="9" t="s">
        <v>619</v>
      </c>
      <c r="C113" s="9" t="s">
        <v>620</v>
      </c>
      <c r="D113" s="9" t="s">
        <v>621</v>
      </c>
      <c r="E113" s="10" t="s">
        <v>622</v>
      </c>
      <c r="F113" s="10" t="s">
        <v>623</v>
      </c>
      <c r="G113" s="10" t="s">
        <v>624</v>
      </c>
      <c r="H113" s="11" t="s">
        <v>625</v>
      </c>
      <c r="J113" s="506"/>
    </row>
    <row r="114" spans="1:10" s="4" customFormat="1">
      <c r="A114" s="254" t="s">
        <v>29</v>
      </c>
      <c r="B114" s="64" t="e">
        <f>+B112+B104</f>
        <v>#REF!</v>
      </c>
      <c r="C114" s="64" t="e">
        <f>+C112+C104</f>
        <v>#REF!</v>
      </c>
      <c r="D114" s="64" t="e">
        <f>+D112+D104</f>
        <v>#REF!</v>
      </c>
      <c r="E114" s="64" t="e">
        <f>+E112+E104</f>
        <v>#REF!</v>
      </c>
      <c r="F114" s="64" t="e">
        <f>+F112+F104</f>
        <v>#REF!</v>
      </c>
      <c r="G114" s="64" t="e">
        <f>+G112+G104-0.5</f>
        <v>#NAME?</v>
      </c>
      <c r="H114" s="53" t="e">
        <f>+H112+H104</f>
        <v>#REF!</v>
      </c>
      <c r="J114" s="29"/>
    </row>
    <row r="115" spans="1:10" s="4" customFormat="1">
      <c r="A115" s="506"/>
      <c r="B115" s="506"/>
      <c r="C115" s="506"/>
      <c r="D115" s="506"/>
      <c r="E115" s="506"/>
      <c r="F115" s="506"/>
      <c r="G115" s="506"/>
      <c r="H115" s="29"/>
      <c r="J115" s="506"/>
    </row>
    <row r="116" spans="1:10" s="4" customFormat="1">
      <c r="A116" s="314" t="s">
        <v>957</v>
      </c>
      <c r="B116" s="28" t="e">
        <f>+B97*('Rev-Exp Plan (2)'!$Y11)</f>
        <v>#REF!</v>
      </c>
      <c r="C116" s="28" t="e">
        <f>+C97*('Rev-Exp Plan (2)'!$Y11)</f>
        <v>#REF!</v>
      </c>
      <c r="D116" s="28" t="e">
        <f>+D97*('Rev-Exp Plan (2)'!$Y11)</f>
        <v>#REF!</v>
      </c>
      <c r="E116" s="28" t="e">
        <f>+E97*('Rev-Exp Plan (2)'!$Y11)</f>
        <v>#REF!</v>
      </c>
      <c r="F116" s="28" t="e">
        <f>+F97*('Rev-Exp Plan (2)'!$Y11)</f>
        <v>#REF!</v>
      </c>
      <c r="G116" s="792"/>
      <c r="H116" s="29" t="e">
        <f>SUM(B116:F116)</f>
        <v>#REF!</v>
      </c>
      <c r="J116" s="792"/>
    </row>
    <row r="117" spans="1:10" s="4" customFormat="1">
      <c r="A117" s="792"/>
      <c r="B117" s="792"/>
      <c r="C117" s="792"/>
      <c r="D117" s="792"/>
      <c r="E117" s="792"/>
      <c r="F117" s="792"/>
      <c r="G117" s="792"/>
      <c r="H117" s="29"/>
      <c r="J117" s="792"/>
    </row>
    <row r="118" spans="1:10" s="4" customFormat="1">
      <c r="A118" s="314" t="s">
        <v>958</v>
      </c>
      <c r="B118" s="13" t="e">
        <f t="shared" ref="B118:H118" si="13">+B116+B114</f>
        <v>#REF!</v>
      </c>
      <c r="C118" s="13" t="e">
        <f t="shared" si="13"/>
        <v>#REF!</v>
      </c>
      <c r="D118" s="13" t="e">
        <f t="shared" si="13"/>
        <v>#REF!</v>
      </c>
      <c r="E118" s="13" t="e">
        <f t="shared" si="13"/>
        <v>#REF!</v>
      </c>
      <c r="F118" s="13" t="e">
        <f t="shared" si="13"/>
        <v>#REF!</v>
      </c>
      <c r="G118" s="13" t="e">
        <f t="shared" si="13"/>
        <v>#NAME?</v>
      </c>
      <c r="H118" s="13" t="e">
        <f t="shared" si="13"/>
        <v>#REF!</v>
      </c>
      <c r="J118" s="506"/>
    </row>
    <row r="119" spans="1:10" s="4" customFormat="1">
      <c r="A119" s="314" t="s">
        <v>966</v>
      </c>
      <c r="B119" s="13" t="e">
        <f>+'[22]Resource Alloc 13-14'!B$118</f>
        <v>#REF!</v>
      </c>
      <c r="C119" s="13" t="e">
        <f>+'[22]Resource Alloc 13-14'!C$118</f>
        <v>#REF!</v>
      </c>
      <c r="D119" s="13" t="e">
        <f>+'[22]Resource Alloc 13-14'!D$118</f>
        <v>#REF!</v>
      </c>
      <c r="E119" s="13" t="e">
        <f>+'[22]Resource Alloc 13-14'!E$118</f>
        <v>#REF!</v>
      </c>
      <c r="F119" s="13" t="e">
        <f>+'[22]Resource Alloc 13-14'!F$118</f>
        <v>#REF!</v>
      </c>
      <c r="G119" s="13" t="e">
        <f>+'[22]Resource Alloc 13-14'!G$118</f>
        <v>#REF!</v>
      </c>
      <c r="H119" s="13" t="e">
        <f>SUM(B119:G119)</f>
        <v>#REF!</v>
      </c>
      <c r="J119" s="826"/>
    </row>
    <row r="120" spans="1:10" s="4" customFormat="1">
      <c r="A120" s="314" t="s">
        <v>352</v>
      </c>
      <c r="B120" s="13" t="e">
        <f>+B118-B119</f>
        <v>#REF!</v>
      </c>
      <c r="C120" s="13" t="e">
        <f t="shared" ref="C120:H120" si="14">+C118-C119</f>
        <v>#REF!</v>
      </c>
      <c r="D120" s="13" t="e">
        <f t="shared" si="14"/>
        <v>#REF!</v>
      </c>
      <c r="E120" s="13" t="e">
        <f t="shared" si="14"/>
        <v>#REF!</v>
      </c>
      <c r="F120" s="13" t="e">
        <f t="shared" si="14"/>
        <v>#REF!</v>
      </c>
      <c r="G120" s="13" t="e">
        <f t="shared" si="14"/>
        <v>#NAME?</v>
      </c>
      <c r="H120" s="13" t="e">
        <f t="shared" si="14"/>
        <v>#REF!</v>
      </c>
      <c r="J120" s="826"/>
    </row>
    <row r="121" spans="1:10" s="4" customFormat="1">
      <c r="A121" s="506"/>
      <c r="B121" s="506"/>
      <c r="C121" s="506"/>
      <c r="D121" s="506"/>
      <c r="E121" s="506"/>
      <c r="F121" s="20"/>
      <c r="G121" s="58"/>
      <c r="H121" s="29"/>
      <c r="J121" s="506"/>
    </row>
    <row r="122" spans="1:10">
      <c r="A122" s="66" t="s">
        <v>677</v>
      </c>
      <c r="C122" s="67">
        <f>+'Sq Ft'!B255</f>
        <v>1620579</v>
      </c>
      <c r="F122" s="20"/>
      <c r="G122" s="58"/>
    </row>
    <row r="123" spans="1:10">
      <c r="A123" s="506" t="s">
        <v>679</v>
      </c>
      <c r="C123" s="68" t="e">
        <f>+(F104/C122)/2</f>
        <v>#REF!</v>
      </c>
      <c r="F123" s="20"/>
      <c r="G123" s="58"/>
    </row>
    <row r="124" spans="1:10">
      <c r="A124" s="506" t="s">
        <v>680</v>
      </c>
      <c r="C124" s="69" t="e">
        <f>+F9/SUM($B9:$D9)/2</f>
        <v>#REF!</v>
      </c>
      <c r="H124" s="29"/>
    </row>
    <row r="125" spans="1:10">
      <c r="A125" s="506" t="s">
        <v>681</v>
      </c>
      <c r="C125" s="69" t="e">
        <f>+E9/SUM($B9:$D9)</f>
        <v>#REF!</v>
      </c>
    </row>
    <row r="127" spans="1:10">
      <c r="A127" s="71" t="s">
        <v>983</v>
      </c>
      <c r="B127" s="28">
        <v>1177085</v>
      </c>
      <c r="C127" s="28">
        <v>684592</v>
      </c>
      <c r="D127" s="28">
        <v>1176132</v>
      </c>
      <c r="E127" s="606">
        <v>449200</v>
      </c>
      <c r="F127" s="606">
        <v>409432</v>
      </c>
    </row>
    <row r="128" spans="1:10">
      <c r="A128" s="71" t="s">
        <v>984</v>
      </c>
      <c r="B128" s="31">
        <v>29228458</v>
      </c>
      <c r="C128" s="31">
        <v>16585895</v>
      </c>
      <c r="D128" s="31">
        <v>28064858</v>
      </c>
      <c r="E128" s="839">
        <v>11039966</v>
      </c>
      <c r="F128" s="839">
        <v>10038265</v>
      </c>
      <c r="G128" s="23"/>
      <c r="H128" s="23"/>
    </row>
    <row r="129" spans="1:8">
      <c r="A129" s="71" t="s">
        <v>985</v>
      </c>
      <c r="B129" s="28">
        <f>SUM(B127:B128)</f>
        <v>30405543</v>
      </c>
      <c r="C129" s="28">
        <f>SUM(C127:C128)</f>
        <v>17270487</v>
      </c>
      <c r="D129" s="28">
        <f>SUM(D127:D128)</f>
        <v>29240990</v>
      </c>
      <c r="E129" s="28">
        <f>SUM(E127:E128)</f>
        <v>11489166</v>
      </c>
      <c r="F129" s="28">
        <f>SUM(F127:F128)</f>
        <v>10447697</v>
      </c>
      <c r="H129" s="838"/>
    </row>
    <row r="131" spans="1:8">
      <c r="A131" s="71" t="s">
        <v>986</v>
      </c>
      <c r="B131" s="28">
        <v>1171228</v>
      </c>
      <c r="C131" s="28">
        <v>682205</v>
      </c>
      <c r="D131" s="28">
        <v>1188342</v>
      </c>
      <c r="E131" s="606">
        <v>449553</v>
      </c>
      <c r="F131" s="606">
        <v>405114</v>
      </c>
      <c r="G131" s="28"/>
      <c r="H131" s="28">
        <f>SUM(B131:G131)</f>
        <v>3896442</v>
      </c>
    </row>
    <row r="132" spans="1:8">
      <c r="A132" s="71" t="s">
        <v>987</v>
      </c>
      <c r="B132" s="839">
        <v>28915794</v>
      </c>
      <c r="C132" s="839">
        <v>16414635</v>
      </c>
      <c r="D132" s="839">
        <v>28083557</v>
      </c>
      <c r="E132" s="839">
        <v>10962935</v>
      </c>
      <c r="F132" s="839">
        <v>9860623</v>
      </c>
      <c r="G132" s="839">
        <v>31035533</v>
      </c>
      <c r="H132" s="31">
        <f>SUM(B132:G132)</f>
        <v>125273077</v>
      </c>
    </row>
    <row r="133" spans="1:8">
      <c r="A133" s="71" t="s">
        <v>988</v>
      </c>
      <c r="B133" s="28">
        <f>SUM(B131:B132)</f>
        <v>30087022</v>
      </c>
      <c r="C133" s="28">
        <f t="shared" ref="C133:H133" si="15">SUM(C131:C132)</f>
        <v>17096840</v>
      </c>
      <c r="D133" s="28">
        <f t="shared" si="15"/>
        <v>29271899</v>
      </c>
      <c r="E133" s="28">
        <f t="shared" si="15"/>
        <v>11412488</v>
      </c>
      <c r="F133" s="28">
        <f t="shared" si="15"/>
        <v>10265737</v>
      </c>
      <c r="G133" s="28">
        <f t="shared" si="15"/>
        <v>31035533</v>
      </c>
      <c r="H133" s="28">
        <f t="shared" si="15"/>
        <v>129169519</v>
      </c>
    </row>
    <row r="135" spans="1:8">
      <c r="A135" s="71" t="s">
        <v>989</v>
      </c>
    </row>
    <row r="136" spans="1:8">
      <c r="A136" s="71" t="s">
        <v>990</v>
      </c>
      <c r="B136" s="29" t="e">
        <f>+B116-B131</f>
        <v>#REF!</v>
      </c>
      <c r="C136" s="29" t="e">
        <f>+C116-C131</f>
        <v>#REF!</v>
      </c>
      <c r="D136" s="29" t="e">
        <f>+D116-D131</f>
        <v>#REF!</v>
      </c>
      <c r="E136" s="29" t="e">
        <f>+E116-E131</f>
        <v>#REF!</v>
      </c>
      <c r="F136" s="29" t="e">
        <f>+F116-F131</f>
        <v>#REF!</v>
      </c>
    </row>
    <row r="137" spans="1:8">
      <c r="A137" s="71" t="s">
        <v>174</v>
      </c>
      <c r="B137" s="63" t="e">
        <f>+B114-B132</f>
        <v>#REF!</v>
      </c>
      <c r="C137" s="63" t="e">
        <f>+C114-C132</f>
        <v>#REF!</v>
      </c>
      <c r="D137" s="63" t="e">
        <f>+D114-D132</f>
        <v>#REF!</v>
      </c>
      <c r="E137" s="63" t="e">
        <f>+E114-E132</f>
        <v>#REF!</v>
      </c>
      <c r="F137" s="63" t="e">
        <f>+F114-F132</f>
        <v>#REF!</v>
      </c>
    </row>
    <row r="138" spans="1:8">
      <c r="B138" s="29" t="e">
        <f>SUM(B136:B137)</f>
        <v>#REF!</v>
      </c>
      <c r="C138" s="29" t="e">
        <f>SUM(C136:C137)</f>
        <v>#REF!</v>
      </c>
      <c r="D138" s="29" t="e">
        <f>SUM(D136:D137)</f>
        <v>#REF!</v>
      </c>
      <c r="E138" s="29" t="e">
        <f>SUM(E136:E137)</f>
        <v>#REF!</v>
      </c>
      <c r="F138" s="29" t="e">
        <f>SUM(F136:F137)</f>
        <v>#REF!</v>
      </c>
    </row>
    <row r="140" spans="1:8">
      <c r="A140" s="71" t="s">
        <v>991</v>
      </c>
    </row>
    <row r="141" spans="1:8">
      <c r="A141" s="71" t="s">
        <v>990</v>
      </c>
      <c r="B141" s="29" t="e">
        <f>+B116-B127</f>
        <v>#REF!</v>
      </c>
      <c r="C141" s="29" t="e">
        <f>+C116-C127</f>
        <v>#REF!</v>
      </c>
      <c r="D141" s="29" t="e">
        <f>+D116-D127</f>
        <v>#REF!</v>
      </c>
      <c r="E141" s="29" t="e">
        <f>+E116-E127</f>
        <v>#REF!</v>
      </c>
      <c r="F141" s="29" t="e">
        <f>+F116-F127</f>
        <v>#REF!</v>
      </c>
    </row>
    <row r="142" spans="1:8">
      <c r="A142" s="71" t="s">
        <v>174</v>
      </c>
      <c r="B142" s="63" t="e">
        <f>+B114-B128</f>
        <v>#REF!</v>
      </c>
      <c r="C142" s="63" t="e">
        <f>+C114-C128</f>
        <v>#REF!</v>
      </c>
      <c r="D142" s="63" t="e">
        <f>+D114-D128</f>
        <v>#REF!</v>
      </c>
      <c r="E142" s="63" t="e">
        <f>+E114-E128</f>
        <v>#REF!</v>
      </c>
      <c r="F142" s="63" t="e">
        <f>+F114-F128</f>
        <v>#REF!</v>
      </c>
    </row>
    <row r="143" spans="1:8">
      <c r="B143" s="29" t="e">
        <f>SUM(B141:B142)</f>
        <v>#REF!</v>
      </c>
      <c r="C143" s="29" t="e">
        <f>SUM(C141:C142)</f>
        <v>#REF!</v>
      </c>
      <c r="D143" s="29" t="e">
        <f>SUM(D141:D142)</f>
        <v>#REF!</v>
      </c>
      <c r="E143" s="29" t="e">
        <f>SUM(E141:E142)</f>
        <v>#REF!</v>
      </c>
      <c r="F143" s="29" t="e">
        <f>SUM(F141:F142)</f>
        <v>#REF!</v>
      </c>
    </row>
  </sheetData>
  <pageMargins left="0.75" right="0.75" top="1" bottom="1" header="0.5" footer="0.5"/>
  <pageSetup orientation="landscape" r:id="rId1"/>
  <headerFooter alignWithMargins="0">
    <oddHeader>&amp;CPrelim Budget 1/8/13</oddHeader>
  </headerFooter>
  <rowBreaks count="2" manualBreakCount="2">
    <brk id="74" max="7" man="1"/>
    <brk id="100" max="7"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28"/>
  <sheetViews>
    <sheetView workbookViewId="0"/>
  </sheetViews>
  <sheetFormatPr defaultColWidth="9.28515625" defaultRowHeight="12.75"/>
  <cols>
    <col min="1" max="1" width="19.42578125" style="2" customWidth="1"/>
    <col min="2"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9">
      <c r="A1" s="1" t="s">
        <v>236</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54" t="s">
        <v>291</v>
      </c>
      <c r="B9" s="13" t="e">
        <f>+'Resource Alloc 11-12'!B111</f>
        <v>#REF!</v>
      </c>
      <c r="C9" s="13" t="e">
        <f>+'Resource Alloc 11-12'!C111</f>
        <v>#REF!</v>
      </c>
      <c r="D9" s="13" t="e">
        <f>+'Resource Alloc 11-12'!D111</f>
        <v>#REF!</v>
      </c>
      <c r="E9" s="13" t="e">
        <f>+'Resource Alloc 11-12'!E111</f>
        <v>#REF!</v>
      </c>
      <c r="F9" s="13" t="e">
        <f>+'Resource Alloc 11-12'!F111</f>
        <v>#REF!</v>
      </c>
      <c r="G9" s="13" t="e">
        <f>+'Resource Alloc 11-12'!G111</f>
        <v>#REF!</v>
      </c>
      <c r="H9" s="14" t="e">
        <f>SUM(B9:G9)</f>
        <v>#REF!</v>
      </c>
      <c r="I9" s="4" t="s">
        <v>626</v>
      </c>
    </row>
    <row r="10" spans="1:9">
      <c r="B10" s="69" t="e">
        <f>+B9/SUM($B9:$D9)</f>
        <v>#REF!</v>
      </c>
      <c r="C10" s="69" t="e">
        <f>+C9/SUM($B9:$D9)</f>
        <v>#REF!</v>
      </c>
      <c r="D10" s="69" t="e">
        <f>+D9/SUM($B9:$D9)</f>
        <v>#REF!</v>
      </c>
    </row>
    <row r="11" spans="1:9">
      <c r="A11" s="255" t="s">
        <v>288</v>
      </c>
      <c r="B11" s="15">
        <f>+Revenues!E77</f>
        <v>8103.79</v>
      </c>
      <c r="C11" s="15">
        <f>+Revenues!C77</f>
        <v>4366.37</v>
      </c>
      <c r="D11" s="15">
        <f>+Revenues!D77</f>
        <v>7530.85</v>
      </c>
      <c r="E11" s="16"/>
      <c r="F11" s="16"/>
      <c r="G11" s="16"/>
      <c r="H11" s="17">
        <f>SUM(B11:G11)</f>
        <v>20001.010000000002</v>
      </c>
    </row>
    <row r="12" spans="1:9">
      <c r="A12" s="248" t="s">
        <v>339</v>
      </c>
      <c r="B12" s="19">
        <f>+Revenues!E66</f>
        <v>8252.7565523430494</v>
      </c>
      <c r="C12" s="19">
        <f>+Revenues!C66</f>
        <v>4763.420000000001</v>
      </c>
      <c r="D12" s="19">
        <f>+Revenues!D66</f>
        <v>8265.3352733028987</v>
      </c>
      <c r="E12" s="20"/>
      <c r="F12" s="20"/>
      <c r="G12" s="20"/>
      <c r="H12" s="21">
        <f>SUM(B12:G12)</f>
        <v>21281.51182564595</v>
      </c>
    </row>
    <row r="13" spans="1:9">
      <c r="A13" s="248" t="s">
        <v>425</v>
      </c>
      <c r="B13" s="19">
        <f>+Revenues!E57</f>
        <v>8513.940089362497</v>
      </c>
      <c r="C13" s="19">
        <f>+Revenues!C57</f>
        <v>4639.2721703306916</v>
      </c>
      <c r="D13" s="19">
        <f>+Revenues!D57</f>
        <v>7920.9452163737342</v>
      </c>
      <c r="E13" s="20"/>
      <c r="F13" s="20"/>
      <c r="G13" s="20"/>
      <c r="H13" s="21">
        <f>SUM(B13:G13)</f>
        <v>21074.157476066921</v>
      </c>
    </row>
    <row r="14" spans="1:9" s="662" customFormat="1">
      <c r="A14" s="248" t="s">
        <v>404</v>
      </c>
      <c r="B14" s="19">
        <f>+'Resource Alloc 11-12'!B13</f>
        <v>8140</v>
      </c>
      <c r="C14" s="19">
        <f>+'Resource Alloc 11-12'!C13</f>
        <v>4776.55</v>
      </c>
      <c r="D14" s="19">
        <f>+'Resource Alloc 11-12'!D13</f>
        <v>9354</v>
      </c>
      <c r="E14" s="20"/>
      <c r="F14" s="20"/>
      <c r="G14" s="20"/>
      <c r="H14" s="21">
        <f>SUM(B14:G14)</f>
        <v>22270.55</v>
      </c>
      <c r="I14" s="4"/>
    </row>
    <row r="15" spans="1:9" s="662" customFormat="1">
      <c r="A15" s="248" t="s">
        <v>502</v>
      </c>
      <c r="B15" s="19">
        <f>+'Resource Alloc 10-11'!B13</f>
        <v>8851.6621986503487</v>
      </c>
      <c r="C15" s="19">
        <f>+'Resource Alloc 10-11'!C13</f>
        <v>5186.01</v>
      </c>
      <c r="D15" s="19">
        <f>+'Resource Alloc 10-11'!D13</f>
        <v>9581.0442332203856</v>
      </c>
      <c r="E15" s="20"/>
      <c r="F15" s="20"/>
      <c r="G15" s="20"/>
      <c r="H15" s="21"/>
      <c r="I15" s="4"/>
    </row>
    <row r="16" spans="1:9">
      <c r="A16" s="254" t="s">
        <v>888</v>
      </c>
      <c r="B16" s="22">
        <f>AVERAGE(B11:B15)</f>
        <v>8372.4297680711788</v>
      </c>
      <c r="C16" s="22">
        <f>AVERAGE(C11:C15)</f>
        <v>4746.3244340661386</v>
      </c>
      <c r="D16" s="22">
        <f>AVERAGE(D11:D15)</f>
        <v>8530.4349445794032</v>
      </c>
      <c r="E16" s="23"/>
      <c r="F16" s="23"/>
      <c r="G16" s="23"/>
      <c r="H16" s="24">
        <f>SUM(B16:D16)</f>
        <v>21649.189146716722</v>
      </c>
      <c r="I16" s="4" t="s">
        <v>630</v>
      </c>
    </row>
    <row r="17" spans="1:10">
      <c r="A17" s="25" t="s">
        <v>631</v>
      </c>
      <c r="B17" s="65">
        <f>+B16/$H16</f>
        <v>0.38673179449498812</v>
      </c>
      <c r="C17" s="65">
        <f>+C16/$H16</f>
        <v>0.21923797708543544</v>
      </c>
      <c r="D17" s="65">
        <f>+D16/$H16</f>
        <v>0.39403022841957636</v>
      </c>
      <c r="E17" s="20"/>
      <c r="F17" s="20"/>
      <c r="G17" s="20"/>
      <c r="H17" s="19"/>
    </row>
    <row r="18" spans="1:10">
      <c r="A18" s="25"/>
      <c r="B18" s="26"/>
      <c r="C18" s="26"/>
      <c r="D18" s="26"/>
      <c r="E18" s="20"/>
      <c r="F18" s="20"/>
      <c r="G18" s="20"/>
      <c r="H18" s="19"/>
    </row>
    <row r="19" spans="1:10" s="4" customFormat="1">
      <c r="A19" s="27" t="s">
        <v>632</v>
      </c>
      <c r="B19" s="2"/>
      <c r="C19" s="2"/>
      <c r="D19" s="2"/>
      <c r="E19" s="2"/>
      <c r="F19" s="2"/>
      <c r="G19" s="2"/>
      <c r="H19" s="2"/>
      <c r="J19" s="2"/>
    </row>
    <row r="20" spans="1:10" s="4" customFormat="1">
      <c r="A20" s="20" t="s">
        <v>633</v>
      </c>
      <c r="B20" s="28" t="e">
        <f>0.8*B9</f>
        <v>#REF!</v>
      </c>
      <c r="C20" s="28" t="e">
        <f>0.8*C9</f>
        <v>#REF!</v>
      </c>
      <c r="D20" s="28" t="e">
        <f>0.8*D9</f>
        <v>#REF!</v>
      </c>
      <c r="E20" s="2"/>
      <c r="F20" s="2"/>
      <c r="G20" s="2"/>
      <c r="H20" s="28" t="e">
        <f>SUM(B20:G20)</f>
        <v>#REF!</v>
      </c>
      <c r="J20" s="2"/>
    </row>
    <row r="21" spans="1:10" s="4" customFormat="1">
      <c r="A21" s="20"/>
      <c r="B21" s="2"/>
      <c r="C21" s="2"/>
      <c r="D21" s="2"/>
      <c r="E21" s="2"/>
      <c r="F21" s="2"/>
      <c r="G21" s="2"/>
      <c r="H21" s="2"/>
      <c r="J21" s="2"/>
    </row>
    <row r="22" spans="1:10" s="4" customFormat="1">
      <c r="A22" s="27" t="s">
        <v>634</v>
      </c>
      <c r="B22" s="2"/>
      <c r="C22" s="2"/>
      <c r="D22" s="2"/>
      <c r="E22" s="2"/>
      <c r="F22" s="2"/>
      <c r="G22" s="2"/>
      <c r="H22" s="2"/>
      <c r="J22" s="2"/>
    </row>
    <row r="23" spans="1:10" s="4" customFormat="1">
      <c r="A23" s="20" t="s">
        <v>635</v>
      </c>
      <c r="B23" s="28" t="e">
        <f>+($H9-$H20-$E9-$F9-$G9)/$H16*B16</f>
        <v>#REF!</v>
      </c>
      <c r="C23" s="28" t="e">
        <f>+($H9-$H20-$E9-$F9-$G9)/$H16*C16</f>
        <v>#REF!</v>
      </c>
      <c r="D23" s="28" t="e">
        <f>+($H9-$H20-$E9-$F9-$G9)/$H16*D16</f>
        <v>#REF!</v>
      </c>
      <c r="E23" s="2"/>
      <c r="F23" s="2"/>
      <c r="G23" s="2"/>
      <c r="H23" s="28" t="e">
        <f>SUM(B23:G23)</f>
        <v>#REF!</v>
      </c>
      <c r="J23" s="2"/>
    </row>
    <row r="24" spans="1:10" s="4" customFormat="1">
      <c r="A24" s="20"/>
      <c r="B24" s="2"/>
      <c r="C24" s="2"/>
      <c r="D24" s="2"/>
      <c r="E24" s="2"/>
      <c r="F24" s="2"/>
      <c r="G24" s="2"/>
      <c r="H24" s="2"/>
      <c r="J24" s="2"/>
    </row>
    <row r="25" spans="1:10" s="4" customFormat="1">
      <c r="A25" s="27" t="s">
        <v>415</v>
      </c>
      <c r="B25" s="2"/>
      <c r="C25" s="2"/>
      <c r="D25" s="2"/>
      <c r="E25" s="2"/>
      <c r="F25" s="2"/>
      <c r="G25" s="2"/>
      <c r="H25" s="2"/>
      <c r="J25" s="2"/>
    </row>
    <row r="26" spans="1:10" s="4" customFormat="1">
      <c r="A26" s="20" t="s">
        <v>625</v>
      </c>
      <c r="B26" s="29" t="e">
        <f>+B23+B20</f>
        <v>#REF!</v>
      </c>
      <c r="C26" s="29" t="e">
        <f>+C23+C20</f>
        <v>#REF!</v>
      </c>
      <c r="D26" s="29" t="e">
        <f>+D23+D20</f>
        <v>#REF!</v>
      </c>
      <c r="E26" s="2"/>
      <c r="F26" s="2"/>
      <c r="G26" s="2"/>
      <c r="H26" s="28" t="e">
        <f>SUM(B26:G26)</f>
        <v>#REF!</v>
      </c>
      <c r="J26" s="2"/>
    </row>
    <row r="27" spans="1:10" s="4" customFormat="1">
      <c r="A27" s="25" t="s">
        <v>636</v>
      </c>
      <c r="B27" s="29" t="e">
        <f>+B26-B9</f>
        <v>#REF!</v>
      </c>
      <c r="C27" s="29" t="e">
        <f>+C26-C9</f>
        <v>#REF!</v>
      </c>
      <c r="D27" s="29" t="e">
        <f>+D26-D9</f>
        <v>#REF!</v>
      </c>
      <c r="E27" s="2"/>
      <c r="F27" s="2"/>
      <c r="G27" s="2"/>
      <c r="H27" s="28" t="e">
        <f>SUM(B27:G27)</f>
        <v>#REF!</v>
      </c>
      <c r="J27" s="2"/>
    </row>
    <row r="28" spans="1:10" s="4" customFormat="1">
      <c r="A28" s="25"/>
      <c r="B28" s="2"/>
      <c r="C28" s="2"/>
      <c r="D28" s="2"/>
      <c r="E28" s="2"/>
      <c r="F28" s="2"/>
      <c r="G28" s="2"/>
      <c r="H28" s="2"/>
      <c r="J28" s="2"/>
    </row>
    <row r="29" spans="1:10" s="4" customFormat="1">
      <c r="A29" s="30" t="s">
        <v>637</v>
      </c>
      <c r="B29" s="2"/>
      <c r="C29" s="2"/>
      <c r="D29" s="2"/>
      <c r="E29" s="2"/>
      <c r="F29" s="2"/>
      <c r="G29" s="2"/>
      <c r="H29" s="2"/>
      <c r="J29" s="2"/>
    </row>
    <row r="30" spans="1:10" s="4" customFormat="1">
      <c r="A30" s="25" t="s">
        <v>638</v>
      </c>
      <c r="B30" s="29" t="e">
        <f>MAX(B27,0)</f>
        <v>#REF!</v>
      </c>
      <c r="C30" s="29" t="e">
        <f>MAX(C27,0)</f>
        <v>#REF!</v>
      </c>
      <c r="D30" s="29" t="e">
        <f>MAX(D27,0)</f>
        <v>#REF!</v>
      </c>
      <c r="E30" s="2"/>
      <c r="F30" s="2"/>
      <c r="G30" s="2"/>
      <c r="H30" s="28" t="e">
        <f>SUM(B30:G30)</f>
        <v>#REF!</v>
      </c>
      <c r="J30" s="2"/>
    </row>
    <row r="31" spans="1:10" s="4" customFormat="1">
      <c r="A31" s="25"/>
      <c r="B31" s="29"/>
      <c r="C31" s="29"/>
      <c r="D31" s="29"/>
      <c r="E31" s="2"/>
      <c r="F31" s="2"/>
      <c r="G31" s="2"/>
      <c r="H31" s="28"/>
      <c r="J31" s="2"/>
    </row>
    <row r="33" spans="1:10" s="4" customFormat="1">
      <c r="A33" s="6" t="s">
        <v>639</v>
      </c>
      <c r="B33" s="2"/>
      <c r="C33" s="2"/>
      <c r="D33" s="2"/>
      <c r="E33" s="2"/>
      <c r="F33" s="2"/>
      <c r="G33" s="2"/>
      <c r="H33" s="2"/>
      <c r="J33" s="2"/>
    </row>
    <row r="34" spans="1:10" s="4" customFormat="1">
      <c r="A34" s="7" t="s">
        <v>237</v>
      </c>
      <c r="B34" s="2"/>
      <c r="C34" s="2"/>
      <c r="D34" s="2"/>
      <c r="E34" s="2"/>
      <c r="F34" s="2"/>
      <c r="G34" s="2"/>
      <c r="H34" s="2"/>
      <c r="J34" s="2"/>
    </row>
    <row r="35" spans="1:10">
      <c r="A35" s="8"/>
      <c r="B35" s="9" t="s">
        <v>619</v>
      </c>
      <c r="C35" s="9" t="s">
        <v>620</v>
      </c>
      <c r="D35" s="9" t="s">
        <v>621</v>
      </c>
      <c r="E35" s="10" t="s">
        <v>622</v>
      </c>
      <c r="F35" s="10" t="s">
        <v>623</v>
      </c>
      <c r="G35" s="10" t="s">
        <v>624</v>
      </c>
      <c r="H35" s="11" t="s">
        <v>625</v>
      </c>
    </row>
    <row r="36" spans="1:10">
      <c r="A36" s="12" t="s">
        <v>640</v>
      </c>
      <c r="B36" s="23"/>
      <c r="C36" s="23"/>
      <c r="D36" s="23"/>
      <c r="E36" s="23"/>
      <c r="F36" s="23"/>
      <c r="G36" s="31" t="e">
        <f>SUM('Rev-Exp Plan (2)'!X34:X48)-SUM('Rev-Exp Plan (2)'!W34:W48)-'Resource Alloc 12-13'!G60-'Resource Alloc 12-13'!G70</f>
        <v>#REF!</v>
      </c>
      <c r="H36" s="32" t="e">
        <f>SUM(G36)</f>
        <v>#REF!</v>
      </c>
      <c r="I36" s="4" t="s">
        <v>641</v>
      </c>
    </row>
    <row r="37" spans="1:10">
      <c r="A37" s="16"/>
      <c r="G37" s="28"/>
      <c r="H37" s="29"/>
    </row>
    <row r="38" spans="1:10">
      <c r="A38" s="256" t="s">
        <v>137</v>
      </c>
    </row>
    <row r="39" spans="1:10">
      <c r="A39" s="33" t="s">
        <v>238</v>
      </c>
    </row>
    <row r="40" spans="1:10">
      <c r="A40" s="8"/>
      <c r="B40" s="9" t="s">
        <v>619</v>
      </c>
      <c r="C40" s="9" t="s">
        <v>620</v>
      </c>
      <c r="D40" s="9" t="s">
        <v>621</v>
      </c>
      <c r="E40" s="10" t="s">
        <v>622</v>
      </c>
      <c r="F40" s="10" t="s">
        <v>623</v>
      </c>
      <c r="G40" s="10" t="s">
        <v>624</v>
      </c>
      <c r="H40" s="11" t="s">
        <v>625</v>
      </c>
    </row>
    <row r="41" spans="1:10">
      <c r="A41" s="12"/>
      <c r="B41" s="22"/>
      <c r="C41" s="22"/>
      <c r="D41" s="22"/>
      <c r="E41" s="23"/>
      <c r="F41" s="335" t="e">
        <f>+'Sq Ft'!D255*'Resource Alloc 12-13'!C119</f>
        <v>#REF!</v>
      </c>
      <c r="G41" s="23"/>
      <c r="H41" s="32" t="e">
        <f>SUM(F41:G41)</f>
        <v>#REF!</v>
      </c>
      <c r="J41" s="71" t="s">
        <v>873</v>
      </c>
    </row>
    <row r="42" spans="1:10">
      <c r="A42" s="20"/>
      <c r="B42" s="19"/>
      <c r="C42" s="19"/>
      <c r="D42" s="19"/>
      <c r="F42" s="28"/>
      <c r="H42" s="29"/>
    </row>
    <row r="43" spans="1:10">
      <c r="A43" s="20"/>
      <c r="B43" s="19"/>
      <c r="C43" s="19"/>
      <c r="D43" s="19"/>
    </row>
    <row r="44" spans="1:10">
      <c r="A44" s="6" t="s">
        <v>642</v>
      </c>
    </row>
    <row r="45" spans="1:10">
      <c r="A45" s="7" t="s">
        <v>239</v>
      </c>
      <c r="D45" s="7"/>
      <c r="J45" s="34"/>
    </row>
    <row r="46" spans="1:10">
      <c r="A46" s="8"/>
      <c r="B46" s="9" t="s">
        <v>619</v>
      </c>
      <c r="C46" s="9" t="s">
        <v>620</v>
      </c>
      <c r="D46" s="9" t="s">
        <v>621</v>
      </c>
      <c r="E46" s="10" t="s">
        <v>622</v>
      </c>
      <c r="F46" s="10" t="s">
        <v>623</v>
      </c>
      <c r="G46" s="10" t="s">
        <v>624</v>
      </c>
      <c r="H46" s="11" t="s">
        <v>625</v>
      </c>
    </row>
    <row r="47" spans="1:10">
      <c r="A47" s="248" t="s">
        <v>240</v>
      </c>
      <c r="B47" s="19">
        <f>+Revenues!E88</f>
        <v>8144.29</v>
      </c>
      <c r="C47" s="19">
        <f>+Revenues!C88</f>
        <v>4368.04</v>
      </c>
      <c r="D47" s="19">
        <f>+Revenues!D88</f>
        <v>7659.83</v>
      </c>
      <c r="E47" s="20"/>
      <c r="F47" s="20"/>
      <c r="G47" s="19"/>
      <c r="H47" s="35">
        <f>SUM(B47:G47)</f>
        <v>20172.16</v>
      </c>
    </row>
    <row r="48" spans="1:10">
      <c r="A48" s="248" t="s">
        <v>889</v>
      </c>
      <c r="B48" s="36">
        <f>AVERAGE(B47,B11,B12,B13,B14)</f>
        <v>8230.9553283411096</v>
      </c>
      <c r="C48" s="36">
        <f>AVERAGE(C47,C11,C12,C13,C14)</f>
        <v>4582.7304340661385</v>
      </c>
      <c r="D48" s="36">
        <f>AVERAGE(D47,D11,D12,D13,D14)</f>
        <v>8146.1920979353263</v>
      </c>
      <c r="E48" s="20"/>
      <c r="F48" s="20"/>
      <c r="G48" s="20">
        <f>+G47/3</f>
        <v>0</v>
      </c>
      <c r="H48" s="35">
        <f>SUM(B48:G48)</f>
        <v>20959.877860342574</v>
      </c>
    </row>
    <row r="49" spans="1:10">
      <c r="A49" s="254" t="s">
        <v>890</v>
      </c>
      <c r="B49" s="37">
        <f>+B48-(B16)</f>
        <v>-141.47443973006921</v>
      </c>
      <c r="C49" s="37">
        <f>+C48-(C16)</f>
        <v>-163.59400000000005</v>
      </c>
      <c r="D49" s="37">
        <f>+D48-(D16)</f>
        <v>-384.24284664407696</v>
      </c>
      <c r="E49" s="23"/>
      <c r="F49" s="23"/>
      <c r="G49" s="23">
        <f>+G48</f>
        <v>0</v>
      </c>
      <c r="H49" s="38">
        <f>SUM(B49:G49)</f>
        <v>-689.31128637414622</v>
      </c>
      <c r="J49" s="39"/>
    </row>
    <row r="50" spans="1:10">
      <c r="A50" s="7" t="s">
        <v>49</v>
      </c>
    </row>
    <row r="51" spans="1:10">
      <c r="A51" s="7"/>
      <c r="H51" s="488" t="e">
        <f>+ROUND((4366*H49-F41)/(1+C121+C120)/H49,)</f>
        <v>#REF!</v>
      </c>
    </row>
    <row r="52" spans="1:10">
      <c r="A52" s="8" t="s">
        <v>646</v>
      </c>
      <c r="B52" s="40">
        <f>3729*B49</f>
        <v>-527558.18575342803</v>
      </c>
      <c r="C52" s="40">
        <f>3729*C49</f>
        <v>-610042.02600000019</v>
      </c>
      <c r="D52" s="40">
        <f>3729*D49</f>
        <v>-1432841.575135763</v>
      </c>
      <c r="E52" s="16"/>
      <c r="F52" s="16"/>
      <c r="G52" s="40">
        <f>3600*G49</f>
        <v>0</v>
      </c>
      <c r="H52" s="41">
        <f>SUM(B52:G52)</f>
        <v>-2570441.7868891913</v>
      </c>
    </row>
    <row r="53" spans="1:10" s="730" customFormat="1">
      <c r="A53" s="254" t="s">
        <v>914</v>
      </c>
      <c r="B53" s="31" t="e">
        <f>+'[15]12-13'!$D$13</f>
        <v>#REF!</v>
      </c>
      <c r="C53" s="31" t="e">
        <f>'[15]12-13'!$B$13</f>
        <v>#REF!</v>
      </c>
      <c r="D53" s="31" t="e">
        <f>+'[15]12-13'!$C$13</f>
        <v>#REF!</v>
      </c>
      <c r="E53" s="23"/>
      <c r="F53" s="23"/>
      <c r="G53" s="31"/>
      <c r="H53" s="32" t="e">
        <f>SUM(B53:G53)</f>
        <v>#REF!</v>
      </c>
      <c r="I53" s="4"/>
    </row>
    <row r="54" spans="1:10">
      <c r="A54" s="254" t="s">
        <v>625</v>
      </c>
      <c r="B54" s="31" t="e">
        <f>SUM(B52:B53)</f>
        <v>#REF!</v>
      </c>
      <c r="C54" s="31" t="e">
        <f>SUM(C52:C53)</f>
        <v>#REF!</v>
      </c>
      <c r="D54" s="31" t="e">
        <f>SUM(D52:D53)</f>
        <v>#REF!</v>
      </c>
      <c r="E54" s="23"/>
      <c r="F54" s="23"/>
      <c r="G54" s="23"/>
      <c r="H54" s="32" t="e">
        <f>SUM(B54:G54)</f>
        <v>#REF!</v>
      </c>
      <c r="I54" s="4" t="s">
        <v>647</v>
      </c>
    </row>
    <row r="56" spans="1:10">
      <c r="A56" s="256" t="s">
        <v>891</v>
      </c>
      <c r="H56" s="42"/>
    </row>
    <row r="57" spans="1:10">
      <c r="A57" s="43" t="s">
        <v>892</v>
      </c>
    </row>
    <row r="58" spans="1:10">
      <c r="A58" s="8"/>
      <c r="B58" s="44" t="s">
        <v>619</v>
      </c>
      <c r="C58" s="44" t="s">
        <v>620</v>
      </c>
      <c r="D58" s="44" t="s">
        <v>621</v>
      </c>
      <c r="E58" s="45" t="s">
        <v>622</v>
      </c>
      <c r="F58" s="45" t="s">
        <v>623</v>
      </c>
      <c r="G58" s="45" t="s">
        <v>624</v>
      </c>
      <c r="H58" s="46" t="s">
        <v>625</v>
      </c>
    </row>
    <row r="59" spans="1:10">
      <c r="A59" s="18" t="s">
        <v>646</v>
      </c>
      <c r="B59" s="20"/>
      <c r="C59" s="20"/>
      <c r="D59" s="20"/>
      <c r="E59" s="13" t="e">
        <f>C121*H52</f>
        <v>#REF!</v>
      </c>
      <c r="F59" s="13" t="e">
        <f>C120*H52</f>
        <v>#REF!</v>
      </c>
      <c r="G59" s="20"/>
      <c r="H59" s="49" t="e">
        <f>SUM(E59:G59)</f>
        <v>#REF!</v>
      </c>
      <c r="I59" s="4" t="s">
        <v>648</v>
      </c>
    </row>
    <row r="60" spans="1:10" s="730" customFormat="1">
      <c r="A60" s="254" t="s">
        <v>914</v>
      </c>
      <c r="B60" s="23"/>
      <c r="C60" s="23"/>
      <c r="D60" s="23"/>
      <c r="E60" s="31" t="e">
        <f>+'[15]12-13'!$E$13</f>
        <v>#REF!</v>
      </c>
      <c r="F60" s="31"/>
      <c r="G60" s="31" t="e">
        <f>+'[15]12-13'!$F$13+'[15]12-13'!$G$15+'[15]12-13'!$G$24</f>
        <v>#REF!</v>
      </c>
      <c r="H60" s="32" t="e">
        <f>SUM(B60:G60)</f>
        <v>#REF!</v>
      </c>
      <c r="I60" s="4"/>
    </row>
    <row r="61" spans="1:10" s="730" customFormat="1">
      <c r="A61" s="254" t="s">
        <v>625</v>
      </c>
      <c r="B61" s="31">
        <f t="shared" ref="B61:G61" si="0">SUM(B59:B60)</f>
        <v>0</v>
      </c>
      <c r="C61" s="31">
        <f t="shared" si="0"/>
        <v>0</v>
      </c>
      <c r="D61" s="31">
        <f t="shared" si="0"/>
        <v>0</v>
      </c>
      <c r="E61" s="63" t="e">
        <f t="shared" si="0"/>
        <v>#REF!</v>
      </c>
      <c r="F61" s="63" t="e">
        <f t="shared" si="0"/>
        <v>#REF!</v>
      </c>
      <c r="G61" s="63" t="e">
        <f t="shared" si="0"/>
        <v>#REF!</v>
      </c>
      <c r="H61" s="32" t="e">
        <f>SUM(B61:G61)</f>
        <v>#REF!</v>
      </c>
      <c r="I61" s="4"/>
    </row>
    <row r="62" spans="1:10">
      <c r="E62" s="28"/>
      <c r="F62" s="28"/>
      <c r="H62" s="29"/>
    </row>
    <row r="64" spans="1:10">
      <c r="A64" s="6" t="s">
        <v>649</v>
      </c>
    </row>
    <row r="65" spans="1:9">
      <c r="A65" s="7" t="s">
        <v>243</v>
      </c>
    </row>
    <row r="66" spans="1:9">
      <c r="A66" s="8"/>
      <c r="B66" s="44" t="s">
        <v>619</v>
      </c>
      <c r="C66" s="44" t="s">
        <v>620</v>
      </c>
      <c r="D66" s="44" t="s">
        <v>621</v>
      </c>
      <c r="E66" s="45" t="s">
        <v>622</v>
      </c>
      <c r="F66" s="45" t="s">
        <v>623</v>
      </c>
      <c r="G66" s="45" t="s">
        <v>624</v>
      </c>
      <c r="H66" s="46" t="s">
        <v>625</v>
      </c>
    </row>
    <row r="67" spans="1:9">
      <c r="A67" s="47" t="s">
        <v>650</v>
      </c>
      <c r="B67" s="13" t="e">
        <f>+'[23]12-13 Allocation'!$E$10+'[23]12-13 Allocation'!$E$11</f>
        <v>#REF!</v>
      </c>
      <c r="C67" s="13" t="e">
        <f>+'[23]12-13 Allocation'!$B$10+'[23]12-13 Allocation'!$B$11</f>
        <v>#REF!</v>
      </c>
      <c r="D67" s="13" t="e">
        <f>+'[23]12-13 Allocation'!$C$10+'[23]12-13 Allocation'!$C$11</f>
        <v>#REF!</v>
      </c>
      <c r="E67" s="13" t="e">
        <f>+'[23]12-13 Allocation'!$F$10+'[23]12-13 Allocation'!$F$11</f>
        <v>#REF!</v>
      </c>
      <c r="F67" s="13" t="e">
        <f>+'[23]12-13 Allocation'!$G$10+'[23]12-13 Allocation'!$G$11</f>
        <v>#REF!</v>
      </c>
      <c r="G67" s="13" t="e">
        <f>+COLA!B52-SUM(B67:F67)</f>
        <v>#REF!</v>
      </c>
      <c r="H67" s="14" t="e">
        <f>SUM(B67:G67)</f>
        <v>#REF!</v>
      </c>
      <c r="I67" s="4" t="s">
        <v>651</v>
      </c>
    </row>
    <row r="68" spans="1:9">
      <c r="A68" s="47" t="s">
        <v>476</v>
      </c>
      <c r="B68" s="13"/>
      <c r="C68" s="13"/>
      <c r="D68" s="13"/>
      <c r="E68" s="13"/>
      <c r="F68" s="13"/>
      <c r="G68" s="13" t="e">
        <f>+COLA!B53+COLA!B58-'Resource Alloc 12-13'!H67</f>
        <v>#NAME?</v>
      </c>
      <c r="H68" s="14" t="e">
        <f>SUM(B68:G68)</f>
        <v>#NAME?</v>
      </c>
    </row>
    <row r="69" spans="1:9" s="487" customFormat="1">
      <c r="A69" s="47" t="s">
        <v>166</v>
      </c>
      <c r="B69" s="13">
        <v>-150000</v>
      </c>
      <c r="C69" s="13">
        <v>-150000</v>
      </c>
      <c r="D69" s="13">
        <v>-150000</v>
      </c>
      <c r="E69" s="13"/>
      <c r="F69" s="13">
        <f>+'Sq Ft'!J77-'Sq Ft'!E76</f>
        <v>193833.63599999994</v>
      </c>
      <c r="G69" s="13"/>
      <c r="H69" s="14">
        <f>SUM(B69:G69)</f>
        <v>-256166.36400000006</v>
      </c>
      <c r="I69" s="4"/>
    </row>
    <row r="70" spans="1:9">
      <c r="A70" s="50"/>
      <c r="B70" s="52" t="e">
        <f>SUM(B67:B69)</f>
        <v>#REF!</v>
      </c>
      <c r="C70" s="52" t="e">
        <f t="shared" ref="C70:H70" si="1">SUM(C67:C69)</f>
        <v>#REF!</v>
      </c>
      <c r="D70" s="52" t="e">
        <f t="shared" si="1"/>
        <v>#REF!</v>
      </c>
      <c r="E70" s="52" t="e">
        <f t="shared" si="1"/>
        <v>#REF!</v>
      </c>
      <c r="F70" s="52" t="e">
        <f t="shared" si="1"/>
        <v>#REF!</v>
      </c>
      <c r="G70" s="52" t="e">
        <f t="shared" si="1"/>
        <v>#REF!</v>
      </c>
      <c r="H70" s="52" t="e">
        <f t="shared" si="1"/>
        <v>#REF!</v>
      </c>
    </row>
    <row r="71" spans="1:9">
      <c r="A71" s="54"/>
    </row>
    <row r="73" spans="1:9">
      <c r="A73" s="6" t="s">
        <v>653</v>
      </c>
    </row>
    <row r="74" spans="1:9">
      <c r="A74" s="7" t="s">
        <v>876</v>
      </c>
    </row>
    <row r="75" spans="1:9">
      <c r="A75" s="7" t="s">
        <v>654</v>
      </c>
    </row>
    <row r="76" spans="1:9">
      <c r="A76" s="2" t="s">
        <v>655</v>
      </c>
      <c r="B76" s="29" t="e">
        <f>+H9</f>
        <v>#REF!</v>
      </c>
      <c r="D76" s="71" t="s">
        <v>288</v>
      </c>
      <c r="E76" s="55">
        <f>+Revenues!F75</f>
        <v>17631.777302569368</v>
      </c>
      <c r="F76" s="2" t="s">
        <v>656</v>
      </c>
    </row>
    <row r="77" spans="1:9">
      <c r="A77" s="71" t="s">
        <v>119</v>
      </c>
      <c r="B77" s="28">
        <f>+'SB361'!J18</f>
        <v>0</v>
      </c>
      <c r="D77" s="71" t="s">
        <v>240</v>
      </c>
      <c r="E77" s="39">
        <f>+Revenues!F86</f>
        <v>18987.543651284683</v>
      </c>
      <c r="F77" s="2" t="s">
        <v>657</v>
      </c>
    </row>
    <row r="78" spans="1:9">
      <c r="A78" s="2" t="s">
        <v>652</v>
      </c>
      <c r="B78" s="28">
        <f>+'SB361'!J19</f>
        <v>-1748817.9702665815</v>
      </c>
      <c r="D78" s="2" t="s">
        <v>658</v>
      </c>
      <c r="E78" s="39">
        <f>MAX(E77-E76,0)</f>
        <v>1355.766348715315</v>
      </c>
    </row>
    <row r="79" spans="1:9">
      <c r="A79" s="2" t="s">
        <v>659</v>
      </c>
      <c r="B79" s="28" t="e">
        <f>+'Rev-Exp Plan'!X25-SUM('Resource Alloc 12-13'!B76:B78)</f>
        <v>#REF!</v>
      </c>
      <c r="D79" s="54" t="s">
        <v>478</v>
      </c>
      <c r="E79" s="763" t="e">
        <f>+B81-E80-B90+J106</f>
        <v>#REF!</v>
      </c>
      <c r="F79" s="181"/>
      <c r="I79" s="4" t="s">
        <v>641</v>
      </c>
    </row>
    <row r="80" spans="1:9">
      <c r="A80" s="71" t="s">
        <v>244</v>
      </c>
      <c r="B80" s="57" t="e">
        <f>SUM(B76:B79)</f>
        <v>#REF!</v>
      </c>
      <c r="D80" s="71" t="s">
        <v>344</v>
      </c>
      <c r="E80" s="55" t="e">
        <f>+'SB361'!J73</f>
        <v>#REF!</v>
      </c>
    </row>
    <row r="81" spans="1:10">
      <c r="A81" s="2" t="s">
        <v>660</v>
      </c>
      <c r="B81" s="29" t="e">
        <f>+B80-B76</f>
        <v>#REF!</v>
      </c>
    </row>
    <row r="82" spans="1:10">
      <c r="A82" s="2" t="s">
        <v>479</v>
      </c>
      <c r="B82" s="29" t="e">
        <f>+B81-E79-E80</f>
        <v>#REF!</v>
      </c>
      <c r="C82" s="243"/>
      <c r="E82" s="39"/>
    </row>
    <row r="83" spans="1:10">
      <c r="A83" s="2" t="s">
        <v>661</v>
      </c>
      <c r="C83" s="29"/>
    </row>
    <row r="84" spans="1:10">
      <c r="A84" s="2" t="s">
        <v>662</v>
      </c>
      <c r="B84" s="29" t="e">
        <f>+H30</f>
        <v>#REF!</v>
      </c>
    </row>
    <row r="85" spans="1:10">
      <c r="A85" s="2" t="s">
        <v>663</v>
      </c>
      <c r="B85" s="29" t="e">
        <f>+H36</f>
        <v>#REF!</v>
      </c>
    </row>
    <row r="86" spans="1:10" s="4" customFormat="1">
      <c r="A86" s="2" t="s">
        <v>664</v>
      </c>
      <c r="B86" s="29" t="e">
        <f>+H41</f>
        <v>#REF!</v>
      </c>
      <c r="C86" s="2"/>
      <c r="D86" s="2"/>
      <c r="E86" s="2"/>
      <c r="F86" s="2"/>
      <c r="G86" s="2"/>
      <c r="H86" s="2"/>
      <c r="J86" s="2"/>
    </row>
    <row r="87" spans="1:10" s="4" customFormat="1">
      <c r="A87" s="2" t="s">
        <v>665</v>
      </c>
      <c r="B87" s="29" t="e">
        <f>+H54</f>
        <v>#REF!</v>
      </c>
      <c r="C87" s="2"/>
      <c r="D87" s="2"/>
      <c r="E87" s="2"/>
      <c r="F87" s="2"/>
      <c r="G87" s="2"/>
      <c r="H87" s="2"/>
      <c r="J87" s="2"/>
    </row>
    <row r="88" spans="1:10" s="4" customFormat="1">
      <c r="A88" s="2" t="s">
        <v>666</v>
      </c>
      <c r="B88" s="29" t="e">
        <f>+H61</f>
        <v>#REF!</v>
      </c>
      <c r="C88" s="2"/>
      <c r="D88" s="2"/>
      <c r="E88" s="2"/>
      <c r="F88" s="2"/>
      <c r="G88" s="2"/>
      <c r="H88" s="2"/>
      <c r="J88" s="2"/>
    </row>
    <row r="89" spans="1:10" s="4" customFormat="1">
      <c r="A89" s="2" t="s">
        <v>667</v>
      </c>
      <c r="B89" s="29" t="e">
        <f>+H70</f>
        <v>#REF!</v>
      </c>
      <c r="C89" s="2"/>
      <c r="D89" s="2"/>
      <c r="E89" s="2"/>
      <c r="F89" s="2"/>
      <c r="G89" s="2"/>
      <c r="H89" s="2"/>
      <c r="J89" s="2"/>
    </row>
    <row r="90" spans="1:10" s="4" customFormat="1">
      <c r="A90" s="2"/>
      <c r="B90" s="57" t="e">
        <f>SUM(B84:B89)</f>
        <v>#REF!</v>
      </c>
      <c r="C90" s="2"/>
      <c r="D90" s="2"/>
      <c r="E90" s="2"/>
      <c r="F90" s="2"/>
      <c r="G90" s="2"/>
      <c r="H90" s="2"/>
      <c r="J90" s="2"/>
    </row>
    <row r="91" spans="1:10" s="4" customFormat="1">
      <c r="A91" s="2" t="s">
        <v>668</v>
      </c>
      <c r="B91" s="29" t="e">
        <f>+(B82-B90)</f>
        <v>#REF!</v>
      </c>
      <c r="C91" s="2"/>
      <c r="D91" s="2"/>
      <c r="E91" s="2"/>
      <c r="F91" s="2"/>
      <c r="G91" s="2"/>
      <c r="H91" s="2"/>
      <c r="J91" s="2"/>
    </row>
    <row r="92" spans="1:10" s="4" customFormat="1">
      <c r="A92" s="2"/>
      <c r="B92" s="29"/>
      <c r="C92" s="2"/>
      <c r="D92" s="2"/>
      <c r="E92" s="2"/>
      <c r="F92" s="2"/>
      <c r="G92" s="2"/>
      <c r="H92" s="2"/>
      <c r="J92" s="2"/>
    </row>
    <row r="93" spans="1:10" s="4" customFormat="1">
      <c r="A93" s="8"/>
      <c r="B93" s="9" t="s">
        <v>619</v>
      </c>
      <c r="C93" s="9" t="s">
        <v>620</v>
      </c>
      <c r="D93" s="9" t="s">
        <v>621</v>
      </c>
      <c r="E93" s="10" t="s">
        <v>622</v>
      </c>
      <c r="F93" s="10" t="s">
        <v>623</v>
      </c>
      <c r="G93" s="10" t="s">
        <v>624</v>
      </c>
      <c r="H93" s="11" t="s">
        <v>625</v>
      </c>
      <c r="J93" s="2"/>
    </row>
    <row r="94" spans="1:10" s="4" customFormat="1">
      <c r="A94" s="248" t="s">
        <v>291</v>
      </c>
      <c r="B94" s="58" t="e">
        <f>+B9</f>
        <v>#REF!</v>
      </c>
      <c r="C94" s="58" t="e">
        <f>+C9</f>
        <v>#REF!</v>
      </c>
      <c r="D94" s="58" t="e">
        <f>+D9</f>
        <v>#REF!</v>
      </c>
      <c r="E94" s="58" t="e">
        <f>+E9</f>
        <v>#REF!</v>
      </c>
      <c r="F94" s="58" t="e">
        <f>+F9</f>
        <v>#REF!</v>
      </c>
      <c r="G94" s="59" t="s">
        <v>669</v>
      </c>
      <c r="H94" s="49" t="e">
        <f>SUM(B94:G94)</f>
        <v>#REF!</v>
      </c>
      <c r="J94" s="2"/>
    </row>
    <row r="95" spans="1:10" s="4" customFormat="1">
      <c r="A95" s="60" t="s">
        <v>670</v>
      </c>
      <c r="B95" s="26" t="e">
        <f>+B94/$H94</f>
        <v>#REF!</v>
      </c>
      <c r="C95" s="26" t="e">
        <f>+C94/$H94</f>
        <v>#REF!</v>
      </c>
      <c r="D95" s="26" t="e">
        <f>+D94/$H94</f>
        <v>#REF!</v>
      </c>
      <c r="E95" s="26" t="e">
        <f>+E94/$H94</f>
        <v>#REF!</v>
      </c>
      <c r="F95" s="26" t="e">
        <f>+F94/$H94</f>
        <v>#REF!</v>
      </c>
      <c r="G95" s="26"/>
      <c r="H95" s="61"/>
      <c r="J95" s="2"/>
    </row>
    <row r="96" spans="1:10" s="4" customFormat="1">
      <c r="A96" s="62" t="s">
        <v>671</v>
      </c>
      <c r="B96" s="31" t="e">
        <f t="shared" ref="B96:G96" si="2">+B95*$B91</f>
        <v>#REF!</v>
      </c>
      <c r="C96" s="31" t="e">
        <f t="shared" si="2"/>
        <v>#REF!</v>
      </c>
      <c r="D96" s="31" t="e">
        <f t="shared" si="2"/>
        <v>#REF!</v>
      </c>
      <c r="E96" s="31" t="e">
        <f t="shared" si="2"/>
        <v>#REF!</v>
      </c>
      <c r="F96" s="31" t="e">
        <f t="shared" si="2"/>
        <v>#REF!</v>
      </c>
      <c r="G96" s="31" t="e">
        <f t="shared" si="2"/>
        <v>#REF!</v>
      </c>
      <c r="H96" s="32" t="e">
        <f>SUM(B96:G96)</f>
        <v>#REF!</v>
      </c>
      <c r="J96" s="2"/>
    </row>
    <row r="97" spans="1:10" s="4" customFormat="1">
      <c r="A97" s="25"/>
      <c r="B97" s="28"/>
      <c r="C97" s="28"/>
      <c r="D97" s="28"/>
      <c r="E97" s="28"/>
      <c r="F97" s="28"/>
      <c r="G97" s="28"/>
      <c r="H97" s="29"/>
      <c r="J97" s="2"/>
    </row>
    <row r="99" spans="1:10" s="4" customFormat="1">
      <c r="A99" s="2" t="s">
        <v>672</v>
      </c>
      <c r="B99" s="2"/>
      <c r="C99" s="2"/>
      <c r="D99" s="2"/>
      <c r="E99" s="2"/>
      <c r="F99" s="2"/>
      <c r="G99" s="2"/>
      <c r="H99" s="2"/>
      <c r="J99" s="2"/>
    </row>
    <row r="100" spans="1:10" s="4" customFormat="1">
      <c r="A100" s="7" t="s">
        <v>245</v>
      </c>
      <c r="B100" s="2"/>
      <c r="C100" s="2"/>
      <c r="D100" s="2"/>
      <c r="E100" s="2"/>
      <c r="F100" s="2"/>
      <c r="G100" s="2"/>
      <c r="H100" s="2"/>
      <c r="J100" s="2"/>
    </row>
    <row r="101" spans="1:10" s="4" customFormat="1">
      <c r="A101" s="8"/>
      <c r="B101" s="9" t="s">
        <v>619</v>
      </c>
      <c r="C101" s="9" t="s">
        <v>620</v>
      </c>
      <c r="D101" s="9" t="s">
        <v>621</v>
      </c>
      <c r="E101" s="10" t="s">
        <v>622</v>
      </c>
      <c r="F101" s="10" t="s">
        <v>623</v>
      </c>
      <c r="G101" s="10" t="s">
        <v>624</v>
      </c>
      <c r="H101" s="11" t="s">
        <v>625</v>
      </c>
      <c r="J101" s="2"/>
    </row>
    <row r="102" spans="1:10" s="4" customFormat="1">
      <c r="A102" s="248" t="s">
        <v>291</v>
      </c>
      <c r="B102" s="13" t="e">
        <f t="shared" ref="B102:G102" si="3">+B9</f>
        <v>#REF!</v>
      </c>
      <c r="C102" s="13" t="e">
        <f t="shared" si="3"/>
        <v>#REF!</v>
      </c>
      <c r="D102" s="13" t="e">
        <f t="shared" si="3"/>
        <v>#REF!</v>
      </c>
      <c r="E102" s="13" t="e">
        <f t="shared" si="3"/>
        <v>#REF!</v>
      </c>
      <c r="F102" s="13" t="e">
        <f t="shared" si="3"/>
        <v>#REF!</v>
      </c>
      <c r="G102" s="13" t="e">
        <f t="shared" si="3"/>
        <v>#REF!</v>
      </c>
      <c r="H102" s="14" t="e">
        <f t="shared" ref="H102:H109" si="4">SUM(B102:G102)</f>
        <v>#REF!</v>
      </c>
      <c r="J102" s="2"/>
    </row>
    <row r="103" spans="1:10" s="4" customFormat="1">
      <c r="A103" s="18" t="s">
        <v>662</v>
      </c>
      <c r="B103" s="58" t="e">
        <f t="shared" ref="B103:G103" si="5">+B30</f>
        <v>#REF!</v>
      </c>
      <c r="C103" s="58" t="e">
        <f t="shared" si="5"/>
        <v>#REF!</v>
      </c>
      <c r="D103" s="58" t="e">
        <f t="shared" si="5"/>
        <v>#REF!</v>
      </c>
      <c r="E103" s="58">
        <f t="shared" si="5"/>
        <v>0</v>
      </c>
      <c r="F103" s="58">
        <f t="shared" si="5"/>
        <v>0</v>
      </c>
      <c r="G103" s="58">
        <f t="shared" si="5"/>
        <v>0</v>
      </c>
      <c r="H103" s="49" t="e">
        <f t="shared" si="4"/>
        <v>#REF!</v>
      </c>
      <c r="J103" s="2"/>
    </row>
    <row r="104" spans="1:10" s="4" customFormat="1">
      <c r="A104" s="18" t="s">
        <v>673</v>
      </c>
      <c r="B104" s="13">
        <f t="shared" ref="B104:G104" si="6">+B36</f>
        <v>0</v>
      </c>
      <c r="C104" s="13">
        <f t="shared" si="6"/>
        <v>0</v>
      </c>
      <c r="D104" s="13">
        <f t="shared" si="6"/>
        <v>0</v>
      </c>
      <c r="E104" s="13">
        <f t="shared" si="6"/>
        <v>0</v>
      </c>
      <c r="F104" s="13">
        <f t="shared" si="6"/>
        <v>0</v>
      </c>
      <c r="G104" s="13" t="e">
        <f t="shared" si="6"/>
        <v>#REF!</v>
      </c>
      <c r="H104" s="49" t="e">
        <f t="shared" si="4"/>
        <v>#REF!</v>
      </c>
      <c r="J104" s="2"/>
    </row>
    <row r="105" spans="1:10" s="4" customFormat="1">
      <c r="A105" s="18" t="s">
        <v>664</v>
      </c>
      <c r="B105" s="13">
        <f t="shared" ref="B105:G105" si="7">+B41</f>
        <v>0</v>
      </c>
      <c r="C105" s="13">
        <f t="shared" si="7"/>
        <v>0</v>
      </c>
      <c r="D105" s="13">
        <f t="shared" si="7"/>
        <v>0</v>
      </c>
      <c r="E105" s="13">
        <f t="shared" si="7"/>
        <v>0</v>
      </c>
      <c r="F105" s="13" t="e">
        <f t="shared" si="7"/>
        <v>#REF!</v>
      </c>
      <c r="G105" s="13">
        <f t="shared" si="7"/>
        <v>0</v>
      </c>
      <c r="H105" s="49" t="e">
        <f t="shared" si="4"/>
        <v>#REF!</v>
      </c>
      <c r="J105" s="2"/>
    </row>
    <row r="106" spans="1:10" s="4" customFormat="1">
      <c r="A106" s="18" t="s">
        <v>665</v>
      </c>
      <c r="B106" s="58" t="e">
        <f>+B54</f>
        <v>#REF!</v>
      </c>
      <c r="C106" s="58" t="e">
        <f>+C54</f>
        <v>#REF!</v>
      </c>
      <c r="D106" s="58" t="e">
        <f>+D54</f>
        <v>#REF!</v>
      </c>
      <c r="E106" s="58">
        <f>+E52</f>
        <v>0</v>
      </c>
      <c r="F106" s="58">
        <f>+F52</f>
        <v>0</v>
      </c>
      <c r="G106" s="58">
        <f>+G52</f>
        <v>0</v>
      </c>
      <c r="H106" s="49" t="e">
        <f t="shared" si="4"/>
        <v>#REF!</v>
      </c>
      <c r="J106" s="29" t="e">
        <f>+H52+H59</f>
        <v>#REF!</v>
      </c>
    </row>
    <row r="107" spans="1:10" s="4" customFormat="1">
      <c r="A107" s="18" t="s">
        <v>666</v>
      </c>
      <c r="B107" s="13">
        <f>+B59</f>
        <v>0</v>
      </c>
      <c r="C107" s="13">
        <f>+C59</f>
        <v>0</v>
      </c>
      <c r="D107" s="13">
        <f>+D59</f>
        <v>0</v>
      </c>
      <c r="E107" s="13" t="e">
        <f>+E61</f>
        <v>#REF!</v>
      </c>
      <c r="F107" s="13" t="e">
        <f>+F61</f>
        <v>#REF!</v>
      </c>
      <c r="G107" s="13" t="e">
        <f>+G61</f>
        <v>#REF!</v>
      </c>
      <c r="H107" s="49" t="e">
        <f t="shared" si="4"/>
        <v>#REF!</v>
      </c>
      <c r="J107" s="2"/>
    </row>
    <row r="108" spans="1:10" s="4" customFormat="1">
      <c r="A108" s="18" t="s">
        <v>667</v>
      </c>
      <c r="B108" s="13" t="e">
        <f t="shared" ref="B108:G108" si="8">+B70</f>
        <v>#REF!</v>
      </c>
      <c r="C108" s="13" t="e">
        <f t="shared" si="8"/>
        <v>#REF!</v>
      </c>
      <c r="D108" s="13" t="e">
        <f t="shared" si="8"/>
        <v>#REF!</v>
      </c>
      <c r="E108" s="13" t="e">
        <f t="shared" si="8"/>
        <v>#REF!</v>
      </c>
      <c r="F108" s="13" t="e">
        <f t="shared" si="8"/>
        <v>#REF!</v>
      </c>
      <c r="G108" s="13" t="e">
        <f t="shared" si="8"/>
        <v>#REF!</v>
      </c>
      <c r="H108" s="49" t="e">
        <f t="shared" si="4"/>
        <v>#REF!</v>
      </c>
      <c r="J108" s="2"/>
    </row>
    <row r="109" spans="1:10" s="4" customFormat="1">
      <c r="A109" s="18" t="s">
        <v>674</v>
      </c>
      <c r="B109" s="63" t="e">
        <f t="shared" ref="B109:G109" si="9">+B96</f>
        <v>#REF!</v>
      </c>
      <c r="C109" s="63" t="e">
        <f t="shared" si="9"/>
        <v>#REF!</v>
      </c>
      <c r="D109" s="63" t="e">
        <f t="shared" si="9"/>
        <v>#REF!</v>
      </c>
      <c r="E109" s="63" t="e">
        <f t="shared" si="9"/>
        <v>#REF!</v>
      </c>
      <c r="F109" s="63" t="e">
        <f t="shared" si="9"/>
        <v>#REF!</v>
      </c>
      <c r="G109" s="63" t="e">
        <f t="shared" si="9"/>
        <v>#REF!</v>
      </c>
      <c r="H109" s="32" t="e">
        <f t="shared" si="4"/>
        <v>#REF!</v>
      </c>
      <c r="J109" s="2"/>
    </row>
    <row r="110" spans="1:10" s="4" customFormat="1">
      <c r="A110" s="18" t="s">
        <v>675</v>
      </c>
      <c r="B110" s="63" t="e">
        <f t="shared" ref="B110:H110" si="10">SUM(B103:B109)</f>
        <v>#REF!</v>
      </c>
      <c r="C110" s="63" t="e">
        <f t="shared" si="10"/>
        <v>#REF!</v>
      </c>
      <c r="D110" s="63" t="e">
        <f t="shared" si="10"/>
        <v>#REF!</v>
      </c>
      <c r="E110" s="63" t="e">
        <f t="shared" si="10"/>
        <v>#REF!</v>
      </c>
      <c r="F110" s="63" t="e">
        <f t="shared" si="10"/>
        <v>#REF!</v>
      </c>
      <c r="G110" s="63" t="e">
        <f t="shared" si="10"/>
        <v>#REF!</v>
      </c>
      <c r="H110" s="32" t="e">
        <f t="shared" si="10"/>
        <v>#REF!</v>
      </c>
      <c r="J110" s="2"/>
    </row>
    <row r="111" spans="1:10" s="4" customFormat="1">
      <c r="A111" s="8"/>
      <c r="B111" s="9" t="s">
        <v>619</v>
      </c>
      <c r="C111" s="9" t="s">
        <v>620</v>
      </c>
      <c r="D111" s="9" t="s">
        <v>621</v>
      </c>
      <c r="E111" s="10" t="s">
        <v>622</v>
      </c>
      <c r="F111" s="10" t="s">
        <v>623</v>
      </c>
      <c r="G111" s="10" t="s">
        <v>624</v>
      </c>
      <c r="H111" s="11" t="s">
        <v>625</v>
      </c>
      <c r="J111" s="2"/>
    </row>
    <row r="112" spans="1:10" s="4" customFormat="1">
      <c r="A112" s="254" t="s">
        <v>246</v>
      </c>
      <c r="B112" s="64" t="e">
        <f>+B110+B102</f>
        <v>#REF!</v>
      </c>
      <c r="C112" s="64" t="e">
        <f>+C110+C102</f>
        <v>#REF!</v>
      </c>
      <c r="D112" s="64" t="e">
        <f>+D110+D102</f>
        <v>#REF!</v>
      </c>
      <c r="E112" s="64" t="e">
        <f>+E110+E102</f>
        <v>#REF!</v>
      </c>
      <c r="F112" s="64" t="e">
        <f>+F110+F102</f>
        <v>#REF!</v>
      </c>
      <c r="G112" s="64" t="e">
        <f>+G110+G102-0.5</f>
        <v>#REF!</v>
      </c>
      <c r="H112" s="53" t="e">
        <f>+H110+H102</f>
        <v>#REF!</v>
      </c>
      <c r="J112" s="2"/>
    </row>
    <row r="113" spans="1:10" s="4" customFormat="1">
      <c r="A113" s="2"/>
      <c r="B113" s="2"/>
      <c r="C113" s="2"/>
      <c r="D113" s="2"/>
      <c r="E113" s="2"/>
      <c r="F113" s="2"/>
      <c r="G113" s="2"/>
      <c r="H113" s="29"/>
      <c r="J113" s="2"/>
    </row>
    <row r="114" spans="1:10" s="4" customFormat="1">
      <c r="A114" s="430" t="s">
        <v>910</v>
      </c>
      <c r="B114" s="664" t="e">
        <f>B112-'[24]Resource Alloc 12-13'!B$109</f>
        <v>#REF!</v>
      </c>
      <c r="C114" s="664" t="e">
        <f>C112-'[24]Resource Alloc 12-13'!C$109</f>
        <v>#REF!</v>
      </c>
      <c r="D114" s="664" t="e">
        <f>D112-'[24]Resource Alloc 12-13'!D$109</f>
        <v>#REF!</v>
      </c>
      <c r="E114" s="664" t="e">
        <f>E112-'[24]Resource Alloc 12-13'!E$109</f>
        <v>#REF!</v>
      </c>
      <c r="F114" s="664" t="e">
        <f>F112-'[24]Resource Alloc 12-13'!F$109</f>
        <v>#REF!</v>
      </c>
      <c r="G114" s="664" t="e">
        <f>G112-'[24]Resource Alloc 12-13'!G$109</f>
        <v>#REF!</v>
      </c>
      <c r="H114" s="664" t="e">
        <f>H112-'[24]Resource Alloc 12-13'!H$109</f>
        <v>#REF!</v>
      </c>
      <c r="J114" s="2"/>
    </row>
    <row r="115" spans="1:10" s="4" customFormat="1">
      <c r="A115" s="20"/>
      <c r="B115" s="58"/>
      <c r="C115" s="58"/>
      <c r="D115" s="58"/>
      <c r="E115" s="58"/>
      <c r="F115" s="58"/>
      <c r="G115" s="58"/>
      <c r="H115" s="58"/>
      <c r="J115" s="2"/>
    </row>
    <row r="116" spans="1:10" s="4" customFormat="1">
      <c r="A116" s="314" t="s">
        <v>877</v>
      </c>
      <c r="B116" s="65"/>
      <c r="C116" s="13" t="e">
        <f>+'SB361'!J73</f>
        <v>#REF!</v>
      </c>
      <c r="D116" s="2"/>
      <c r="E116" s="2"/>
      <c r="F116" s="20"/>
      <c r="G116" s="20"/>
      <c r="H116" s="29"/>
      <c r="J116" s="2"/>
    </row>
    <row r="117" spans="1:10" s="4" customFormat="1">
      <c r="A117" s="2"/>
      <c r="B117" s="2"/>
      <c r="C117" s="2"/>
      <c r="D117" s="2"/>
      <c r="E117" s="2"/>
      <c r="F117" s="20"/>
      <c r="G117" s="58"/>
      <c r="H117" s="29"/>
      <c r="J117" s="2"/>
    </row>
    <row r="118" spans="1:10">
      <c r="A118" s="66" t="s">
        <v>677</v>
      </c>
      <c r="C118" s="67">
        <f>+'Sq Ft'!B255</f>
        <v>1620579</v>
      </c>
      <c r="F118" s="20"/>
      <c r="G118" s="58"/>
      <c r="I118" s="4" t="s">
        <v>678</v>
      </c>
    </row>
    <row r="119" spans="1:10">
      <c r="A119" s="2" t="s">
        <v>679</v>
      </c>
      <c r="C119" s="68" t="e">
        <f>+'Resource Alloc 11-12'!C116*(1+Assumptions!I79)</f>
        <v>#REF!</v>
      </c>
      <c r="D119" s="2" t="e">
        <f>+(F102/C118)/2</f>
        <v>#REF!</v>
      </c>
      <c r="F119" s="20"/>
      <c r="G119" s="58"/>
    </row>
    <row r="120" spans="1:10">
      <c r="A120" s="2" t="s">
        <v>680</v>
      </c>
      <c r="C120" s="69" t="e">
        <f>+F9/SUM($B9:$D9)/2</f>
        <v>#REF!</v>
      </c>
      <c r="H120" s="29"/>
    </row>
    <row r="121" spans="1:10">
      <c r="A121" s="2" t="s">
        <v>681</v>
      </c>
      <c r="C121" s="69" t="e">
        <f>+E9/SUM($B9:$D9)</f>
        <v>#REF!</v>
      </c>
    </row>
    <row r="122" spans="1:10">
      <c r="H122" s="29" t="e">
        <f>+D110+'Resource Alloc 13-14'!D112+'Resource Alloc 14-15'!D110</f>
        <v>#REF!</v>
      </c>
    </row>
    <row r="123" spans="1:10">
      <c r="A123" s="2" t="s">
        <v>682</v>
      </c>
    </row>
    <row r="124" spans="1:10">
      <c r="A124" s="2" t="s">
        <v>506</v>
      </c>
    </row>
    <row r="125" spans="1:10">
      <c r="A125" s="2" t="s">
        <v>507</v>
      </c>
    </row>
    <row r="126" spans="1:10">
      <c r="A126" s="2" t="s">
        <v>683</v>
      </c>
    </row>
    <row r="127" spans="1:10">
      <c r="A127" s="2" t="s">
        <v>517</v>
      </c>
    </row>
    <row r="128" spans="1:10">
      <c r="A128" s="2" t="s">
        <v>518</v>
      </c>
    </row>
  </sheetData>
  <pageMargins left="0.75" right="0.75" top="1" bottom="1" header="0.5" footer="0.5"/>
  <pageSetup orientation="landscape" r:id="rId1"/>
  <headerFooter alignWithMargins="0">
    <oddHeader>&amp;CAdopted Budget 8/7/2006</oddHeader>
  </headerFooter>
  <rowBreaks count="3" manualBreakCount="3">
    <brk id="37" max="8" man="1"/>
    <brk id="72" max="8" man="1"/>
    <brk id="98"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25"/>
  <sheetViews>
    <sheetView workbookViewId="0"/>
  </sheetViews>
  <sheetFormatPr defaultColWidth="9.28515625" defaultRowHeight="12.75"/>
  <cols>
    <col min="1" max="1" width="19.42578125" style="2" customWidth="1"/>
    <col min="2"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9">
      <c r="A1" s="1" t="s">
        <v>283</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54" t="s">
        <v>284</v>
      </c>
      <c r="B9" s="13" t="e">
        <f>+'Resource Alloc 10-11'!B109</f>
        <v>#REF!</v>
      </c>
      <c r="C9" s="13" t="e">
        <f>+'Resource Alloc 10-11'!C109</f>
        <v>#REF!</v>
      </c>
      <c r="D9" s="13" t="e">
        <f>+'Resource Alloc 10-11'!D109</f>
        <v>#REF!</v>
      </c>
      <c r="E9" s="13" t="e">
        <f>+'Resource Alloc 10-11'!E109</f>
        <v>#REF!</v>
      </c>
      <c r="F9" s="13" t="e">
        <f>+'Resource Alloc 10-11'!F109</f>
        <v>#REF!</v>
      </c>
      <c r="G9" s="13" t="e">
        <f>+'Resource Alloc 10-11'!G109</f>
        <v>#REF!</v>
      </c>
      <c r="H9" s="14" t="e">
        <f>SUM(B9:G9)</f>
        <v>#REF!</v>
      </c>
      <c r="I9" s="4" t="s">
        <v>626</v>
      </c>
    </row>
    <row r="10" spans="1:9">
      <c r="B10" s="69" t="e">
        <f>+B9/SUM($B9:$D9)</f>
        <v>#REF!</v>
      </c>
      <c r="C10" s="69" t="e">
        <f>+C9/SUM($B9:$D9)</f>
        <v>#REF!</v>
      </c>
      <c r="D10" s="69" t="e">
        <f>+D9/SUM($B9:$D9)</f>
        <v>#REF!</v>
      </c>
    </row>
    <row r="11" spans="1:9">
      <c r="A11" s="255" t="s">
        <v>705</v>
      </c>
      <c r="B11" s="15">
        <f>+Revenues!E66</f>
        <v>8252.7565523430494</v>
      </c>
      <c r="C11" s="15">
        <f>+Revenues!C66</f>
        <v>4763.420000000001</v>
      </c>
      <c r="D11" s="15">
        <f>+Revenues!D66</f>
        <v>8265.3352733028987</v>
      </c>
      <c r="E11" s="16"/>
      <c r="F11" s="16"/>
      <c r="G11" s="16"/>
      <c r="H11" s="17">
        <f>SUM(B11:G11)</f>
        <v>21281.51182564595</v>
      </c>
    </row>
    <row r="12" spans="1:9">
      <c r="A12" s="248" t="s">
        <v>425</v>
      </c>
      <c r="B12" s="19">
        <f>+Revenues!E57</f>
        <v>8513.940089362497</v>
      </c>
      <c r="C12" s="19">
        <f>+Revenues!C57</f>
        <v>4639.2721703306916</v>
      </c>
      <c r="D12" s="19">
        <f>+Revenues!D57</f>
        <v>7920.9452163737342</v>
      </c>
      <c r="E12" s="20"/>
      <c r="F12" s="20"/>
      <c r="G12" s="20"/>
      <c r="H12" s="21">
        <f>SUM(B12:G12)</f>
        <v>21074.157476066921</v>
      </c>
    </row>
    <row r="13" spans="1:9">
      <c r="A13" s="18" t="s">
        <v>404</v>
      </c>
      <c r="B13" s="19">
        <f>+Revenues!E48</f>
        <v>8140</v>
      </c>
      <c r="C13" s="19">
        <f>+Revenues!C48</f>
        <v>4776.55</v>
      </c>
      <c r="D13" s="19">
        <f>+Revenues!D48</f>
        <v>9354</v>
      </c>
      <c r="E13" s="20"/>
      <c r="F13" s="20"/>
      <c r="G13" s="20"/>
      <c r="H13" s="21">
        <f>SUM(B13:G13)</f>
        <v>22270.55</v>
      </c>
    </row>
    <row r="14" spans="1:9">
      <c r="A14" s="12" t="s">
        <v>629</v>
      </c>
      <c r="B14" s="22">
        <f>AVERAGE(B11:B13)</f>
        <v>8302.2322139018488</v>
      </c>
      <c r="C14" s="22">
        <f>AVERAGE(C11:C13)</f>
        <v>4726.4140567768982</v>
      </c>
      <c r="D14" s="22">
        <f>AVERAGE(D11:D13)</f>
        <v>8513.4268298922107</v>
      </c>
      <c r="E14" s="23"/>
      <c r="F14" s="23"/>
      <c r="G14" s="23"/>
      <c r="H14" s="24">
        <f>SUM(B14:D14)</f>
        <v>21542.073100570957</v>
      </c>
      <c r="I14" s="4" t="s">
        <v>630</v>
      </c>
    </row>
    <row r="15" spans="1:9">
      <c r="A15" s="25" t="s">
        <v>631</v>
      </c>
      <c r="B15" s="65">
        <f>+B14/$H14</f>
        <v>0.38539615825933687</v>
      </c>
      <c r="C15" s="65">
        <f>+C14/$H14</f>
        <v>0.21940386306885329</v>
      </c>
      <c r="D15" s="65">
        <f>+D14/$H14</f>
        <v>0.39519997867180984</v>
      </c>
      <c r="E15" s="20"/>
      <c r="F15" s="20"/>
      <c r="G15" s="20"/>
      <c r="H15" s="19"/>
    </row>
    <row r="16" spans="1:9">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707</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285</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+SUM('Rev-Exp Plan'!W33:W40,'Rev-Exp Plan'!W43,'Rev-Exp Plan'!W45:W51)-SUM('Rev-Exp Plan'!V33:V40,'Rev-Exp Plan'!V43,'Rev-Exp Plan'!V45:V51)</f>
        <v>#REF!</v>
      </c>
      <c r="H34" s="32" t="e">
        <f>SUM(G34)</f>
        <v>#REF!</v>
      </c>
      <c r="I34" s="4" t="s">
        <v>641</v>
      </c>
    </row>
    <row r="35" spans="1:10">
      <c r="A35" s="16"/>
      <c r="G35" s="28"/>
      <c r="H35" s="29"/>
    </row>
    <row r="36" spans="1:10">
      <c r="A36" s="20"/>
      <c r="G36" s="29"/>
    </row>
    <row r="37" spans="1:10">
      <c r="A37" s="256" t="s">
        <v>137</v>
      </c>
    </row>
    <row r="38" spans="1:10">
      <c r="A38" s="33" t="s">
        <v>286</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Ft'!S205-'Sq Ft'!Q205)*C116</f>
        <v>#REF!</v>
      </c>
      <c r="G40" s="23"/>
      <c r="H40" s="32" t="e">
        <f>SUM(F40:G40)</f>
        <v>#REF!</v>
      </c>
      <c r="J40" t="s">
        <v>687</v>
      </c>
    </row>
    <row r="41" spans="1:10">
      <c r="A41" s="20"/>
      <c r="B41" s="19"/>
      <c r="C41" s="19"/>
      <c r="D41" s="19"/>
      <c r="F41" s="28"/>
      <c r="H41" s="29"/>
    </row>
    <row r="42" spans="1:10">
      <c r="A42" s="20"/>
      <c r="B42" s="19"/>
      <c r="C42" s="19"/>
      <c r="D42" s="19"/>
    </row>
    <row r="43" spans="1:10">
      <c r="A43" s="6" t="s">
        <v>642</v>
      </c>
    </row>
    <row r="44" spans="1:10">
      <c r="A44" s="7" t="s">
        <v>287</v>
      </c>
      <c r="D44" s="7"/>
      <c r="J44" s="34"/>
    </row>
    <row r="45" spans="1:10">
      <c r="A45" s="8"/>
      <c r="B45" s="9" t="s">
        <v>619</v>
      </c>
      <c r="C45" s="9" t="s">
        <v>620</v>
      </c>
      <c r="D45" s="9" t="s">
        <v>621</v>
      </c>
      <c r="E45" s="10" t="s">
        <v>622</v>
      </c>
      <c r="F45" s="10" t="s">
        <v>623</v>
      </c>
      <c r="G45" s="10" t="s">
        <v>624</v>
      </c>
      <c r="H45" s="11" t="s">
        <v>625</v>
      </c>
    </row>
    <row r="46" spans="1:10">
      <c r="A46" s="248" t="s">
        <v>288</v>
      </c>
      <c r="B46" s="19">
        <f>+Revenues!E77</f>
        <v>8103.79</v>
      </c>
      <c r="C46" s="19">
        <f>+Revenues!C77</f>
        <v>4366.37</v>
      </c>
      <c r="D46" s="19">
        <f>+Revenues!D77</f>
        <v>7530.85</v>
      </c>
      <c r="E46" s="20"/>
      <c r="F46" s="20"/>
      <c r="G46" s="19"/>
      <c r="H46" s="35">
        <f>SUM(B46:G46)</f>
        <v>20001.010000000002</v>
      </c>
    </row>
    <row r="47" spans="1:10">
      <c r="A47" s="18" t="s">
        <v>644</v>
      </c>
      <c r="B47" s="36">
        <f>AVERAGE(B46,B11,B12)</f>
        <v>8290.1622139018491</v>
      </c>
      <c r="C47" s="36">
        <f>AVERAGE(C46,C11,C12)</f>
        <v>4589.6873901102308</v>
      </c>
      <c r="D47" s="36">
        <f>AVERAGE(D46,D11,D12)</f>
        <v>7905.7101632255444</v>
      </c>
      <c r="E47" s="20"/>
      <c r="F47" s="20"/>
      <c r="G47" s="20">
        <f>+G46/3</f>
        <v>0</v>
      </c>
      <c r="H47" s="35">
        <f>SUM(B47:G47)</f>
        <v>20785.559767237624</v>
      </c>
    </row>
    <row r="48" spans="1:10">
      <c r="A48" s="12" t="s">
        <v>645</v>
      </c>
      <c r="B48" s="37">
        <f>+B47-(B14)</f>
        <v>-12.069999999999709</v>
      </c>
      <c r="C48" s="37">
        <f>+C47-(C14)</f>
        <v>-136.72666666666737</v>
      </c>
      <c r="D48" s="37">
        <f>+D47-(D14)</f>
        <v>-607.71666666666624</v>
      </c>
      <c r="E48" s="23"/>
      <c r="F48" s="23"/>
      <c r="G48" s="23">
        <f>+G47</f>
        <v>0</v>
      </c>
      <c r="H48" s="38">
        <f>SUM(B48:G48)</f>
        <v>-756.51333333333332</v>
      </c>
      <c r="J48" s="39"/>
    </row>
    <row r="49" spans="1:9">
      <c r="A49" s="7" t="s">
        <v>47</v>
      </c>
    </row>
    <row r="50" spans="1:9">
      <c r="A50" s="7"/>
      <c r="H50" s="488" t="e">
        <f>+ROUND((4366*H48-F40)/(1+C118+C117)/H48,)</f>
        <v>#REF!</v>
      </c>
    </row>
    <row r="51" spans="1:9">
      <c r="A51" s="8" t="s">
        <v>646</v>
      </c>
      <c r="B51" s="40">
        <f>3789*B48</f>
        <v>-45733.229999998897</v>
      </c>
      <c r="C51" s="40">
        <f>3789*C48</f>
        <v>-518057.34000000264</v>
      </c>
      <c r="D51" s="40">
        <f>3789*D48</f>
        <v>-2302638.4499999983</v>
      </c>
      <c r="E51" s="16"/>
      <c r="F51" s="16"/>
      <c r="G51" s="40">
        <f>3600*G48</f>
        <v>0</v>
      </c>
      <c r="H51" s="41">
        <f>SUM(B51:G51)</f>
        <v>-2866429.02</v>
      </c>
    </row>
    <row r="52" spans="1:9">
      <c r="A52" s="12"/>
      <c r="B52" s="31"/>
      <c r="C52" s="31"/>
      <c r="D52" s="31"/>
      <c r="E52" s="23"/>
      <c r="F52" s="23"/>
      <c r="G52" s="23"/>
      <c r="H52" s="489">
        <f>4366</f>
        <v>4366</v>
      </c>
      <c r="I52" s="4" t="s">
        <v>647</v>
      </c>
    </row>
    <row r="54" spans="1:9">
      <c r="A54" s="256" t="s">
        <v>13</v>
      </c>
      <c r="H54" s="42"/>
    </row>
    <row r="55" spans="1:9">
      <c r="A55" s="43" t="s">
        <v>14</v>
      </c>
    </row>
    <row r="56" spans="1:9">
      <c r="A56" s="8"/>
      <c r="B56" s="9" t="s">
        <v>619</v>
      </c>
      <c r="C56" s="9" t="s">
        <v>620</v>
      </c>
      <c r="D56" s="9" t="s">
        <v>621</v>
      </c>
      <c r="E56" s="10" t="s">
        <v>622</v>
      </c>
      <c r="F56" s="10" t="s">
        <v>623</v>
      </c>
      <c r="G56" s="10" t="s">
        <v>624</v>
      </c>
      <c r="H56" s="11" t="s">
        <v>625</v>
      </c>
    </row>
    <row r="57" spans="1:9">
      <c r="A57" s="12" t="s">
        <v>646</v>
      </c>
      <c r="B57" s="23"/>
      <c r="C57" s="23"/>
      <c r="D57" s="23"/>
      <c r="E57" s="31" t="e">
        <f>C118*H51</f>
        <v>#REF!</v>
      </c>
      <c r="F57" s="31" t="e">
        <f>C117*H51</f>
        <v>#REF!</v>
      </c>
      <c r="G57" s="23"/>
      <c r="H57" s="32" t="e">
        <f>SUM(E57:G57)</f>
        <v>#REF!</v>
      </c>
      <c r="I57" s="4" t="s">
        <v>648</v>
      </c>
    </row>
    <row r="58" spans="1:9">
      <c r="E58" s="28"/>
      <c r="F58" s="28"/>
      <c r="H58" s="29"/>
    </row>
    <row r="60" spans="1:9">
      <c r="A60" s="6" t="s">
        <v>649</v>
      </c>
    </row>
    <row r="61" spans="1:9">
      <c r="A61" s="7" t="s">
        <v>289</v>
      </c>
    </row>
    <row r="62" spans="1:9">
      <c r="A62" s="8"/>
      <c r="B62" s="44" t="s">
        <v>619</v>
      </c>
      <c r="C62" s="44" t="s">
        <v>620</v>
      </c>
      <c r="D62" s="44" t="s">
        <v>621</v>
      </c>
      <c r="E62" s="45" t="s">
        <v>622</v>
      </c>
      <c r="F62" s="45" t="s">
        <v>623</v>
      </c>
      <c r="G62" s="45" t="s">
        <v>624</v>
      </c>
      <c r="H62" s="46" t="s">
        <v>625</v>
      </c>
    </row>
    <row r="63" spans="1:9">
      <c r="A63" s="47" t="s">
        <v>650</v>
      </c>
      <c r="B63" s="13" t="e">
        <f>+'[25]11-12 Allocation '!$E$13</f>
        <v>#REF!</v>
      </c>
      <c r="C63" s="13" t="e">
        <f>+'[25]11-12 Allocation '!$B$13</f>
        <v>#REF!</v>
      </c>
      <c r="D63" s="13" t="e">
        <f>+'[25]11-12 Allocation '!$C$13</f>
        <v>#REF!</v>
      </c>
      <c r="E63" s="13" t="e">
        <f>+'[25]11-12 Allocation '!$F$13</f>
        <v>#REF!</v>
      </c>
      <c r="F63" s="13" t="e">
        <f>+'[25]11-12 Allocation '!$G$13</f>
        <v>#REF!</v>
      </c>
      <c r="G63" s="13" t="e">
        <f>+COLA!B63-SUM(B63:F63)</f>
        <v>#REF!</v>
      </c>
      <c r="H63" s="14" t="e">
        <f>SUM(B63:G63)</f>
        <v>#REF!</v>
      </c>
      <c r="I63" s="4" t="s">
        <v>651</v>
      </c>
    </row>
    <row r="64" spans="1:9">
      <c r="A64" s="47" t="s">
        <v>476</v>
      </c>
      <c r="B64" s="13"/>
      <c r="C64" s="13"/>
      <c r="D64" s="13"/>
      <c r="E64" s="13"/>
      <c r="F64" s="13"/>
      <c r="G64" s="13" t="e">
        <f>+'Rev-Exp Plan'!W41-'Rev-Exp Plan'!V41-SUM(B64:F64,B63:G63)</f>
        <v>#REF!</v>
      </c>
      <c r="H64" s="14" t="e">
        <f>SUM(B64:G64)</f>
        <v>#REF!</v>
      </c>
    </row>
    <row r="65" spans="1:10" s="487" customFormat="1">
      <c r="A65" s="47" t="s">
        <v>166</v>
      </c>
      <c r="B65" s="13">
        <v>-80000</v>
      </c>
      <c r="C65" s="13"/>
      <c r="D65" s="13"/>
      <c r="E65" s="13">
        <v>434000</v>
      </c>
      <c r="F65" s="13" t="e">
        <f>+'Sq Ft'!E76-'Sq Ft'!D76+[26]Sheet1!$E$72</f>
        <v>#REF!</v>
      </c>
      <c r="G65" s="13"/>
      <c r="H65" s="14" t="e">
        <f>SUM(B65:G65)</f>
        <v>#REF!</v>
      </c>
      <c r="I65" s="4"/>
    </row>
    <row r="66" spans="1:10" s="575" customFormat="1">
      <c r="A66" s="47" t="s">
        <v>688</v>
      </c>
      <c r="B66" s="13" t="e">
        <f>+'[25]11-12 Allocation '!$B$19</f>
        <v>#REF!</v>
      </c>
      <c r="C66" s="13" t="e">
        <f>+'[25]11-12 Allocation '!$B$17</f>
        <v>#REF!</v>
      </c>
      <c r="D66" s="13" t="e">
        <f>+'[25]11-12 Allocation '!$B$18</f>
        <v>#REF!</v>
      </c>
      <c r="E66" s="13" t="e">
        <f>+'[25]11-12 Allocation '!$B$20</f>
        <v>#REF!</v>
      </c>
      <c r="F66" s="13" t="e">
        <f>+'[25]11-12 Allocation '!$B$21</f>
        <v>#REF!</v>
      </c>
      <c r="G66" s="13" t="e">
        <f>-SUM(B66:F66)</f>
        <v>#REF!</v>
      </c>
      <c r="H66" s="14" t="e">
        <f>SUM(B66:G66)</f>
        <v>#REF!</v>
      </c>
      <c r="I66" s="4"/>
    </row>
    <row r="67" spans="1:10">
      <c r="A67" s="50"/>
      <c r="B67" s="52" t="e">
        <f t="shared" ref="B67:H67" si="0">SUM(B63:B66)</f>
        <v>#REF!</v>
      </c>
      <c r="C67" s="52" t="e">
        <f t="shared" si="0"/>
        <v>#REF!</v>
      </c>
      <c r="D67" s="52" t="e">
        <f t="shared" si="0"/>
        <v>#REF!</v>
      </c>
      <c r="E67" s="52" t="e">
        <f t="shared" si="0"/>
        <v>#REF!</v>
      </c>
      <c r="F67" s="52" t="e">
        <f t="shared" si="0"/>
        <v>#REF!</v>
      </c>
      <c r="G67" s="52" t="e">
        <f t="shared" si="0"/>
        <v>#REF!</v>
      </c>
      <c r="H67" s="490" t="e">
        <f t="shared" si="0"/>
        <v>#REF!</v>
      </c>
    </row>
    <row r="68" spans="1:10">
      <c r="A68" s="54"/>
    </row>
    <row r="70" spans="1:10">
      <c r="A70" s="6" t="s">
        <v>653</v>
      </c>
      <c r="J70" s="29"/>
    </row>
    <row r="71" spans="1:10">
      <c r="A71" s="7" t="s">
        <v>48</v>
      </c>
    </row>
    <row r="72" spans="1:10">
      <c r="A72" s="7" t="s">
        <v>654</v>
      </c>
    </row>
    <row r="73" spans="1:10">
      <c r="A73" s="2" t="s">
        <v>655</v>
      </c>
      <c r="B73" s="29" t="e">
        <f>+H9</f>
        <v>#REF!</v>
      </c>
      <c r="D73" s="71" t="s">
        <v>339</v>
      </c>
      <c r="E73" s="55">
        <f>+Revenues!F66</f>
        <v>21281.511825645954</v>
      </c>
      <c r="F73" s="2" t="s">
        <v>656</v>
      </c>
    </row>
    <row r="74" spans="1:10">
      <c r="A74" s="71" t="s">
        <v>119</v>
      </c>
      <c r="B74" s="28">
        <f>+'SB361'!I18</f>
        <v>0</v>
      </c>
      <c r="D74" s="71" t="s">
        <v>288</v>
      </c>
      <c r="E74" s="39">
        <f>+Revenues!F77</f>
        <v>20001.010000000002</v>
      </c>
      <c r="F74" s="2" t="s">
        <v>657</v>
      </c>
    </row>
    <row r="75" spans="1:10">
      <c r="A75" s="2" t="s">
        <v>652</v>
      </c>
      <c r="B75" s="28">
        <f>+'SB361'!I19</f>
        <v>-7525230</v>
      </c>
      <c r="D75" s="2" t="s">
        <v>658</v>
      </c>
      <c r="E75" s="39">
        <f>MAX(E74-E73,0)</f>
        <v>0</v>
      </c>
    </row>
    <row r="76" spans="1:10">
      <c r="A76" s="2" t="s">
        <v>659</v>
      </c>
      <c r="B76" s="28" t="e">
        <f>+'Rev-Exp Plan'!W25-SUM('Resource Alloc 11-12'!B73:B75)</f>
        <v>#REF!</v>
      </c>
      <c r="D76" s="54" t="s">
        <v>478</v>
      </c>
      <c r="E76" s="56" t="e">
        <f>IF(+'Rev-Exp Plan'!W55&lt;0,'Rev-Exp Plan'!W55,0)*0+(H103+H104+'Rev-Exp Plan'!W55)</f>
        <v>#REF!</v>
      </c>
      <c r="F76" s="181"/>
      <c r="I76" s="4" t="s">
        <v>641</v>
      </c>
    </row>
    <row r="77" spans="1:10">
      <c r="A77" s="71" t="s">
        <v>15</v>
      </c>
      <c r="B77" s="57" t="e">
        <f>SUM(B73:B76)</f>
        <v>#REF!</v>
      </c>
      <c r="D77" s="71" t="s">
        <v>344</v>
      </c>
      <c r="E77" s="55">
        <v>0</v>
      </c>
    </row>
    <row r="78" spans="1:10">
      <c r="A78" s="2" t="s">
        <v>660</v>
      </c>
      <c r="B78" s="29" t="e">
        <f>+B77-B73</f>
        <v>#REF!</v>
      </c>
    </row>
    <row r="79" spans="1:10">
      <c r="A79" s="2" t="s">
        <v>479</v>
      </c>
      <c r="B79" s="29" t="e">
        <f>+B78-E76-E77</f>
        <v>#REF!</v>
      </c>
      <c r="C79" s="243"/>
    </row>
    <row r="80" spans="1:10">
      <c r="A80" s="2" t="s">
        <v>661</v>
      </c>
      <c r="C80" s="29"/>
    </row>
    <row r="81" spans="1:8">
      <c r="A81" s="2" t="s">
        <v>662</v>
      </c>
      <c r="B81" s="29" t="e">
        <f>+H28</f>
        <v>#REF!</v>
      </c>
    </row>
    <row r="82" spans="1:8">
      <c r="A82" s="2" t="s">
        <v>663</v>
      </c>
      <c r="B82" s="29" t="e">
        <f>+H34</f>
        <v>#REF!</v>
      </c>
    </row>
    <row r="83" spans="1:8">
      <c r="A83" s="2" t="s">
        <v>664</v>
      </c>
      <c r="B83" s="29" t="e">
        <f>+H40</f>
        <v>#REF!</v>
      </c>
    </row>
    <row r="84" spans="1:8">
      <c r="A84" s="2" t="s">
        <v>665</v>
      </c>
      <c r="B84" s="29">
        <f>+H51</f>
        <v>-2866429.02</v>
      </c>
    </row>
    <row r="85" spans="1:8">
      <c r="A85" s="2" t="s">
        <v>666</v>
      </c>
      <c r="B85" s="29" t="e">
        <f>+H57</f>
        <v>#REF!</v>
      </c>
    </row>
    <row r="86" spans="1:8">
      <c r="A86" s="2" t="s">
        <v>667</v>
      </c>
      <c r="B86" s="29" t="e">
        <f>+H67</f>
        <v>#REF!</v>
      </c>
    </row>
    <row r="87" spans="1:8">
      <c r="B87" s="57" t="e">
        <f>SUM(B81:B86)</f>
        <v>#REF!</v>
      </c>
    </row>
    <row r="88" spans="1:8">
      <c r="A88" s="2" t="s">
        <v>668</v>
      </c>
      <c r="B88" s="29" t="e">
        <f>+B79-B87</f>
        <v>#REF!</v>
      </c>
    </row>
    <row r="89" spans="1:8">
      <c r="B89" s="29"/>
    </row>
    <row r="90" spans="1:8">
      <c r="A90" s="8"/>
      <c r="B90" s="9" t="s">
        <v>619</v>
      </c>
      <c r="C90" s="9" t="s">
        <v>620</v>
      </c>
      <c r="D90" s="9" t="s">
        <v>621</v>
      </c>
      <c r="E90" s="10" t="s">
        <v>622</v>
      </c>
      <c r="F90" s="10" t="s">
        <v>623</v>
      </c>
      <c r="G90" s="10" t="s">
        <v>624</v>
      </c>
      <c r="H90" s="11" t="s">
        <v>625</v>
      </c>
    </row>
    <row r="91" spans="1:8">
      <c r="A91" s="248" t="s">
        <v>284</v>
      </c>
      <c r="B91" s="58" t="e">
        <f>+B9</f>
        <v>#REF!</v>
      </c>
      <c r="C91" s="58" t="e">
        <f>+C9</f>
        <v>#REF!</v>
      </c>
      <c r="D91" s="58" t="e">
        <f>+D9</f>
        <v>#REF!</v>
      </c>
      <c r="E91" s="58" t="e">
        <f>+E9</f>
        <v>#REF!</v>
      </c>
      <c r="F91" s="58" t="e">
        <f>+F9</f>
        <v>#REF!</v>
      </c>
      <c r="G91" s="59" t="s">
        <v>669</v>
      </c>
      <c r="H91" s="49" t="e">
        <f>SUM(B91:G91)</f>
        <v>#REF!</v>
      </c>
    </row>
    <row r="92" spans="1:8">
      <c r="A92" s="60" t="s">
        <v>670</v>
      </c>
      <c r="B92" s="26" t="e">
        <f>+B91/$H91</f>
        <v>#REF!</v>
      </c>
      <c r="C92" s="26" t="e">
        <f>+C91/$H91</f>
        <v>#REF!</v>
      </c>
      <c r="D92" s="26" t="e">
        <f>+D91/$H91</f>
        <v>#REF!</v>
      </c>
      <c r="E92" s="26" t="e">
        <f>+E91/$H91</f>
        <v>#REF!</v>
      </c>
      <c r="F92" s="26" t="e">
        <f>+F91/$H91</f>
        <v>#REF!</v>
      </c>
      <c r="G92" s="26"/>
      <c r="H92" s="61"/>
    </row>
    <row r="93" spans="1:8">
      <c r="A93" s="62" t="s">
        <v>671</v>
      </c>
      <c r="B93" s="31" t="e">
        <f t="shared" ref="B93:G93" si="1">+B92*$B88</f>
        <v>#REF!</v>
      </c>
      <c r="C93" s="31" t="e">
        <f t="shared" si="1"/>
        <v>#REF!</v>
      </c>
      <c r="D93" s="31" t="e">
        <f t="shared" si="1"/>
        <v>#REF!</v>
      </c>
      <c r="E93" s="31" t="e">
        <f t="shared" si="1"/>
        <v>#REF!</v>
      </c>
      <c r="F93" s="31" t="e">
        <f t="shared" si="1"/>
        <v>#REF!</v>
      </c>
      <c r="G93" s="31" t="e">
        <f t="shared" si="1"/>
        <v>#REF!</v>
      </c>
      <c r="H93" s="32" t="e">
        <f>SUM(B93:G93)</f>
        <v>#REF!</v>
      </c>
    </row>
    <row r="94" spans="1:8">
      <c r="A94" s="25"/>
      <c r="B94" s="28"/>
      <c r="C94" s="28"/>
      <c r="D94" s="28"/>
      <c r="E94" s="28"/>
      <c r="F94" s="28"/>
      <c r="G94" s="28"/>
      <c r="H94" s="29"/>
    </row>
    <row r="96" spans="1:8">
      <c r="A96" s="2" t="s">
        <v>672</v>
      </c>
    </row>
    <row r="97" spans="1:10">
      <c r="A97" s="7" t="s">
        <v>290</v>
      </c>
    </row>
    <row r="98" spans="1:10">
      <c r="A98" s="8"/>
      <c r="B98" s="9" t="s">
        <v>619</v>
      </c>
      <c r="C98" s="9" t="s">
        <v>620</v>
      </c>
      <c r="D98" s="9" t="s">
        <v>621</v>
      </c>
      <c r="E98" s="10" t="s">
        <v>622</v>
      </c>
      <c r="F98" s="10" t="s">
        <v>623</v>
      </c>
      <c r="G98" s="10" t="s">
        <v>624</v>
      </c>
      <c r="H98" s="11" t="s">
        <v>625</v>
      </c>
    </row>
    <row r="99" spans="1:10">
      <c r="A99" s="248" t="s">
        <v>284</v>
      </c>
      <c r="B99" s="13" t="e">
        <f t="shared" ref="B99:G99" si="2">+B9</f>
        <v>#REF!</v>
      </c>
      <c r="C99" s="13" t="e">
        <f t="shared" si="2"/>
        <v>#REF!</v>
      </c>
      <c r="D99" s="13" t="e">
        <f t="shared" si="2"/>
        <v>#REF!</v>
      </c>
      <c r="E99" s="13" t="e">
        <f t="shared" si="2"/>
        <v>#REF!</v>
      </c>
      <c r="F99" s="13" t="e">
        <f t="shared" si="2"/>
        <v>#REF!</v>
      </c>
      <c r="G99" s="13" t="e">
        <f t="shared" si="2"/>
        <v>#REF!</v>
      </c>
      <c r="H99" s="14" t="e">
        <f t="shared" ref="H99:H106" si="3">SUM(B99:G99)</f>
        <v>#REF!</v>
      </c>
    </row>
    <row r="100" spans="1:10">
      <c r="A100" s="18" t="s">
        <v>662</v>
      </c>
      <c r="B100" s="58" t="e">
        <f t="shared" ref="B100:G100" si="4">+B28</f>
        <v>#REF!</v>
      </c>
      <c r="C100" s="58" t="e">
        <f t="shared" si="4"/>
        <v>#REF!</v>
      </c>
      <c r="D100" s="58" t="e">
        <f t="shared" si="4"/>
        <v>#REF!</v>
      </c>
      <c r="E100" s="58">
        <f t="shared" si="4"/>
        <v>0</v>
      </c>
      <c r="F100" s="58">
        <f t="shared" si="4"/>
        <v>0</v>
      </c>
      <c r="G100" s="58">
        <f t="shared" si="4"/>
        <v>0</v>
      </c>
      <c r="H100" s="49" t="e">
        <f t="shared" si="3"/>
        <v>#REF!</v>
      </c>
    </row>
    <row r="101" spans="1:10">
      <c r="A101" s="18" t="s">
        <v>673</v>
      </c>
      <c r="B101" s="13">
        <f t="shared" ref="B101:G101" si="5">+B34</f>
        <v>0</v>
      </c>
      <c r="C101" s="13">
        <f t="shared" si="5"/>
        <v>0</v>
      </c>
      <c r="D101" s="13">
        <f t="shared" si="5"/>
        <v>0</v>
      </c>
      <c r="E101" s="13">
        <f t="shared" si="5"/>
        <v>0</v>
      </c>
      <c r="F101" s="13">
        <f t="shared" si="5"/>
        <v>0</v>
      </c>
      <c r="G101" s="13" t="e">
        <f t="shared" si="5"/>
        <v>#REF!</v>
      </c>
      <c r="H101" s="49" t="e">
        <f t="shared" si="3"/>
        <v>#REF!</v>
      </c>
    </row>
    <row r="102" spans="1:10">
      <c r="A102" s="18" t="s">
        <v>664</v>
      </c>
      <c r="B102" s="13">
        <f t="shared" ref="B102:G102" si="6">+B40</f>
        <v>0</v>
      </c>
      <c r="C102" s="13">
        <f t="shared" si="6"/>
        <v>0</v>
      </c>
      <c r="D102" s="13">
        <f t="shared" si="6"/>
        <v>0</v>
      </c>
      <c r="E102" s="13">
        <f t="shared" si="6"/>
        <v>0</v>
      </c>
      <c r="F102" s="13" t="e">
        <f t="shared" si="6"/>
        <v>#REF!</v>
      </c>
      <c r="G102" s="13">
        <f t="shared" si="6"/>
        <v>0</v>
      </c>
      <c r="H102" s="49" t="e">
        <f t="shared" si="3"/>
        <v>#REF!</v>
      </c>
    </row>
    <row r="103" spans="1:10">
      <c r="A103" s="18" t="s">
        <v>665</v>
      </c>
      <c r="B103" s="58">
        <f t="shared" ref="B103:G103" si="7">+B51</f>
        <v>-45733.229999998897</v>
      </c>
      <c r="C103" s="58">
        <f t="shared" si="7"/>
        <v>-518057.34000000264</v>
      </c>
      <c r="D103" s="58">
        <f t="shared" si="7"/>
        <v>-2302638.4499999983</v>
      </c>
      <c r="E103" s="58">
        <f t="shared" si="7"/>
        <v>0</v>
      </c>
      <c r="F103" s="58">
        <f t="shared" si="7"/>
        <v>0</v>
      </c>
      <c r="G103" s="58">
        <f t="shared" si="7"/>
        <v>0</v>
      </c>
      <c r="H103" s="49">
        <f t="shared" si="3"/>
        <v>-2866429.02</v>
      </c>
      <c r="J103" s="29" t="e">
        <f>+H103+H104</f>
        <v>#REF!</v>
      </c>
    </row>
    <row r="104" spans="1:10">
      <c r="A104" s="18" t="s">
        <v>666</v>
      </c>
      <c r="B104" s="13">
        <f t="shared" ref="B104:G104" si="8">+B57</f>
        <v>0</v>
      </c>
      <c r="C104" s="13">
        <f t="shared" si="8"/>
        <v>0</v>
      </c>
      <c r="D104" s="13">
        <f t="shared" si="8"/>
        <v>0</v>
      </c>
      <c r="E104" s="13" t="e">
        <f t="shared" si="8"/>
        <v>#REF!</v>
      </c>
      <c r="F104" s="13" t="e">
        <f t="shared" si="8"/>
        <v>#REF!</v>
      </c>
      <c r="G104" s="13">
        <f t="shared" si="8"/>
        <v>0</v>
      </c>
      <c r="H104" s="49" t="e">
        <f t="shared" si="3"/>
        <v>#REF!</v>
      </c>
      <c r="J104" s="29"/>
    </row>
    <row r="105" spans="1:10">
      <c r="A105" s="18" t="s">
        <v>667</v>
      </c>
      <c r="B105" s="13" t="e">
        <f t="shared" ref="B105:G105" si="9">+B67</f>
        <v>#REF!</v>
      </c>
      <c r="C105" s="13" t="e">
        <f t="shared" si="9"/>
        <v>#REF!</v>
      </c>
      <c r="D105" s="13" t="e">
        <f t="shared" si="9"/>
        <v>#REF!</v>
      </c>
      <c r="E105" s="13" t="e">
        <f t="shared" si="9"/>
        <v>#REF!</v>
      </c>
      <c r="F105" s="13" t="e">
        <f t="shared" si="9"/>
        <v>#REF!</v>
      </c>
      <c r="G105" s="13" t="e">
        <f t="shared" si="9"/>
        <v>#REF!</v>
      </c>
      <c r="H105" s="49" t="e">
        <f t="shared" si="3"/>
        <v>#REF!</v>
      </c>
    </row>
    <row r="106" spans="1:10">
      <c r="A106" s="18" t="s">
        <v>674</v>
      </c>
      <c r="B106" s="63" t="e">
        <f t="shared" ref="B106:G106" si="10">+B93</f>
        <v>#REF!</v>
      </c>
      <c r="C106" s="63" t="e">
        <f t="shared" si="10"/>
        <v>#REF!</v>
      </c>
      <c r="D106" s="63" t="e">
        <f t="shared" si="10"/>
        <v>#REF!</v>
      </c>
      <c r="E106" s="63" t="e">
        <f t="shared" si="10"/>
        <v>#REF!</v>
      </c>
      <c r="F106" s="63" t="e">
        <f t="shared" si="10"/>
        <v>#REF!</v>
      </c>
      <c r="G106" s="63" t="e">
        <f t="shared" si="10"/>
        <v>#REF!</v>
      </c>
      <c r="H106" s="32" t="e">
        <f t="shared" si="3"/>
        <v>#REF!</v>
      </c>
    </row>
    <row r="107" spans="1:10">
      <c r="A107" s="18" t="s">
        <v>675</v>
      </c>
      <c r="B107" s="63" t="e">
        <f t="shared" ref="B107:H107" si="11">SUM(B100:B106)</f>
        <v>#REF!</v>
      </c>
      <c r="C107" s="63" t="e">
        <f t="shared" si="11"/>
        <v>#REF!</v>
      </c>
      <c r="D107" s="63" t="e">
        <f t="shared" si="11"/>
        <v>#REF!</v>
      </c>
      <c r="E107" s="63" t="e">
        <f t="shared" si="11"/>
        <v>#REF!</v>
      </c>
      <c r="F107" s="63" t="e">
        <f t="shared" si="11"/>
        <v>#REF!</v>
      </c>
      <c r="G107" s="63" t="e">
        <f t="shared" si="11"/>
        <v>#REF!</v>
      </c>
      <c r="H107" s="32" t="e">
        <f t="shared" si="11"/>
        <v>#REF!</v>
      </c>
    </row>
    <row r="108" spans="1:10">
      <c r="A108" s="568"/>
      <c r="B108" s="569" t="s">
        <v>619</v>
      </c>
      <c r="C108" s="569" t="s">
        <v>620</v>
      </c>
      <c r="D108" s="569" t="s">
        <v>621</v>
      </c>
      <c r="E108" s="570" t="s">
        <v>622</v>
      </c>
      <c r="F108" s="570" t="s">
        <v>623</v>
      </c>
      <c r="G108" s="570" t="s">
        <v>624</v>
      </c>
      <c r="H108" s="571" t="s">
        <v>625</v>
      </c>
    </row>
    <row r="109" spans="1:10">
      <c r="A109" s="572" t="s">
        <v>291</v>
      </c>
      <c r="B109" s="573" t="e">
        <f>+B107+B99</f>
        <v>#REF!</v>
      </c>
      <c r="C109" s="573" t="e">
        <f>+C107+C99</f>
        <v>#REF!</v>
      </c>
      <c r="D109" s="573" t="e">
        <f>+D107+D99</f>
        <v>#REF!</v>
      </c>
      <c r="E109" s="573" t="e">
        <f>+E107+E99</f>
        <v>#REF!</v>
      </c>
      <c r="F109" s="573" t="e">
        <f>+F107+F99</f>
        <v>#REF!</v>
      </c>
      <c r="G109" s="573" t="e">
        <f>+G107+G99-0.5</f>
        <v>#REF!</v>
      </c>
      <c r="H109" s="574" t="e">
        <f>+H107+H99</f>
        <v>#REF!</v>
      </c>
    </row>
    <row r="110" spans="1:10">
      <c r="C110" s="29"/>
      <c r="H110" s="29"/>
    </row>
    <row r="111" spans="1:10">
      <c r="A111" s="314" t="s">
        <v>865</v>
      </c>
      <c r="B111" s="13" t="e">
        <f>+'[27]Resource Alloc 11-12'!B$109</f>
        <v>#REF!</v>
      </c>
      <c r="C111" s="13" t="e">
        <f>+'[27]Resource Alloc 11-12'!C$109</f>
        <v>#REF!</v>
      </c>
      <c r="D111" s="13" t="e">
        <f>+'[27]Resource Alloc 11-12'!D$109</f>
        <v>#REF!</v>
      </c>
      <c r="E111" s="13" t="e">
        <f>+'[27]Resource Alloc 11-12'!E$109</f>
        <v>#REF!</v>
      </c>
      <c r="F111" s="13" t="e">
        <f>+'[27]Resource Alloc 11-12'!F$109</f>
        <v>#REF!</v>
      </c>
      <c r="G111" s="13" t="e">
        <f>+'[27]Resource Alloc 11-12'!G$109</f>
        <v>#REF!</v>
      </c>
      <c r="H111" s="58" t="e">
        <f>SUM(B111:G111)</f>
        <v>#REF!</v>
      </c>
    </row>
    <row r="112" spans="1:10">
      <c r="A112" s="20"/>
      <c r="B112" s="13" t="e">
        <f t="shared" ref="B112:G112" si="12">+B109-B111</f>
        <v>#REF!</v>
      </c>
      <c r="C112" s="13" t="e">
        <f t="shared" si="12"/>
        <v>#REF!</v>
      </c>
      <c r="D112" s="13" t="e">
        <f t="shared" si="12"/>
        <v>#REF!</v>
      </c>
      <c r="E112" s="13" t="e">
        <f t="shared" si="12"/>
        <v>#REF!</v>
      </c>
      <c r="F112" s="13" t="e">
        <f t="shared" si="12"/>
        <v>#REF!</v>
      </c>
      <c r="G112" s="13" t="e">
        <f t="shared" si="12"/>
        <v>#REF!</v>
      </c>
      <c r="H112" s="58"/>
    </row>
    <row r="113" spans="1:9">
      <c r="F113" s="20"/>
      <c r="G113" s="20"/>
      <c r="H113" s="29"/>
    </row>
    <row r="114" spans="1:9">
      <c r="F114" s="20"/>
      <c r="G114" s="58"/>
      <c r="H114" s="29"/>
    </row>
    <row r="115" spans="1:9">
      <c r="A115" s="66" t="s">
        <v>677</v>
      </c>
      <c r="C115" s="67">
        <f>+'Sq Ft'!S205</f>
        <v>1595415</v>
      </c>
      <c r="F115" s="20"/>
      <c r="G115" s="58"/>
      <c r="I115" s="4" t="s">
        <v>678</v>
      </c>
    </row>
    <row r="116" spans="1:9">
      <c r="A116" s="2" t="s">
        <v>679</v>
      </c>
      <c r="C116" s="68" t="e">
        <f>+'Resource Alloc 10-11'!C116*(1+Assumptions!I65)</f>
        <v>#REF!</v>
      </c>
      <c r="D116" s="2" t="e">
        <f>+F99/C115/2</f>
        <v>#REF!</v>
      </c>
      <c r="F116" s="20"/>
      <c r="G116" s="58"/>
    </row>
    <row r="117" spans="1:9">
      <c r="A117" s="2" t="s">
        <v>680</v>
      </c>
      <c r="C117" s="69" t="e">
        <f>+F9/SUM($B9:$D9)/2</f>
        <v>#REF!</v>
      </c>
      <c r="H117" s="29"/>
    </row>
    <row r="118" spans="1:9">
      <c r="A118" s="2" t="s">
        <v>681</v>
      </c>
      <c r="C118" s="69" t="e">
        <f>+E9/SUM($B9:$D9)</f>
        <v>#REF!</v>
      </c>
    </row>
    <row r="120" spans="1:9">
      <c r="A120" s="2" t="s">
        <v>682</v>
      </c>
    </row>
    <row r="121" spans="1:9">
      <c r="A121" s="2" t="s">
        <v>506</v>
      </c>
    </row>
    <row r="122" spans="1:9">
      <c r="A122" s="2" t="s">
        <v>507</v>
      </c>
    </row>
    <row r="123" spans="1:9">
      <c r="A123" s="2" t="s">
        <v>683</v>
      </c>
    </row>
    <row r="124" spans="1:9">
      <c r="A124" s="2" t="s">
        <v>517</v>
      </c>
    </row>
    <row r="125" spans="1:9">
      <c r="A125" s="2" t="s">
        <v>518</v>
      </c>
    </row>
  </sheetData>
  <phoneticPr fontId="61" type="noConversion"/>
  <pageMargins left="0.75" right="0.75" top="1" bottom="1" header="0.5" footer="0.5"/>
  <pageSetup fitToHeight="5" orientation="landscape" r:id="rId1"/>
  <headerFooter alignWithMargins="0">
    <oddHeader>&amp;CPreliminary Budget 11/12
&amp;D</oddHeader>
  </headerFooter>
  <rowBreaks count="3" manualBreakCount="3">
    <brk id="36" max="8" man="1"/>
    <brk id="69" max="8" man="1"/>
    <brk id="95" max="7"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121"/>
  <sheetViews>
    <sheetView workbookViewId="0"/>
  </sheetViews>
  <sheetFormatPr defaultColWidth="9.28515625" defaultRowHeight="12.75"/>
  <cols>
    <col min="1" max="1" width="19.42578125" style="2" customWidth="1"/>
    <col min="2"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8">
      <c r="A1" s="1" t="s">
        <v>335</v>
      </c>
      <c r="H1" s="3" t="s">
        <v>615</v>
      </c>
    </row>
    <row r="2" spans="1:8">
      <c r="A2" s="5"/>
    </row>
    <row r="3" spans="1:8">
      <c r="A3" s="1"/>
    </row>
    <row r="4" spans="1:8">
      <c r="A4" s="6" t="s">
        <v>616</v>
      </c>
    </row>
    <row r="5" spans="1:8">
      <c r="A5" s="6" t="s">
        <v>617</v>
      </c>
    </row>
    <row r="6" spans="1:8">
      <c r="F6" s="29"/>
    </row>
    <row r="7" spans="1:8">
      <c r="A7" s="7" t="s">
        <v>618</v>
      </c>
    </row>
    <row r="8" spans="1:8">
      <c r="A8" s="8"/>
      <c r="B8" s="9" t="s">
        <v>619</v>
      </c>
      <c r="C8" s="9" t="s">
        <v>620</v>
      </c>
      <c r="D8" s="9" t="s">
        <v>621</v>
      </c>
      <c r="E8" s="10" t="s">
        <v>622</v>
      </c>
      <c r="F8" s="10" t="s">
        <v>623</v>
      </c>
      <c r="G8" s="10" t="s">
        <v>624</v>
      </c>
      <c r="H8" s="11" t="s">
        <v>625</v>
      </c>
    </row>
    <row r="9" spans="1:8">
      <c r="A9" s="254" t="s">
        <v>336</v>
      </c>
      <c r="B9" s="13" t="e">
        <f>+'Resource Alloc 09-10'!B108</f>
        <v>#REF!</v>
      </c>
      <c r="C9" s="13" t="e">
        <f>+'Resource Alloc 09-10'!C108</f>
        <v>#REF!</v>
      </c>
      <c r="D9" s="13" t="e">
        <f>+'Resource Alloc 09-10'!D108</f>
        <v>#REF!</v>
      </c>
      <c r="E9" s="13" t="e">
        <f>+'Resource Alloc 09-10'!E108</f>
        <v>#REF!</v>
      </c>
      <c r="F9" s="13" t="e">
        <f>+'Resource Alloc 09-10'!F108</f>
        <v>#REF!</v>
      </c>
      <c r="G9" s="13" t="e">
        <f>+'Resource Alloc 09-10'!G108</f>
        <v>#REF!</v>
      </c>
      <c r="H9" s="14" t="e">
        <f>SUM(B9:G9)</f>
        <v>#REF!</v>
      </c>
    </row>
    <row r="10" spans="1:8">
      <c r="B10" s="69" t="e">
        <f>+B9/SUM($B9:$D9)</f>
        <v>#REF!</v>
      </c>
      <c r="C10" s="69" t="e">
        <f>+C9/SUM($B9:$D9)</f>
        <v>#REF!</v>
      </c>
      <c r="D10" s="69" t="e">
        <f>+D9/SUM($B9:$D9)</f>
        <v>#REF!</v>
      </c>
    </row>
    <row r="11" spans="1:8">
      <c r="A11" s="255" t="s">
        <v>34</v>
      </c>
      <c r="B11" s="15">
        <f>+Revenues!E57</f>
        <v>8513.940089362497</v>
      </c>
      <c r="C11" s="15">
        <f>+Revenues!C57</f>
        <v>4639.2721703306916</v>
      </c>
      <c r="D11" s="15">
        <f>+Revenues!D57</f>
        <v>7920.9452163737342</v>
      </c>
      <c r="E11" s="16"/>
      <c r="F11" s="16"/>
      <c r="G11" s="16"/>
      <c r="H11" s="17">
        <f>SUM(B11:G11)</f>
        <v>21074.157476066921</v>
      </c>
    </row>
    <row r="12" spans="1:8">
      <c r="A12" s="18" t="s">
        <v>404</v>
      </c>
      <c r="B12" s="19">
        <f>+'Resource Alloc 09-10'!B11</f>
        <v>8139.2059138867198</v>
      </c>
      <c r="C12" s="19">
        <f>+'Resource Alloc 09-10'!C11</f>
        <v>4774.0300000000007</v>
      </c>
      <c r="D12" s="19">
        <f>+'Resource Alloc 09-10'!D11</f>
        <v>9353.737870731622</v>
      </c>
      <c r="E12" s="20"/>
      <c r="F12" s="20"/>
      <c r="G12" s="20"/>
      <c r="H12" s="21">
        <f>SUM(B12:G12)</f>
        <v>22266.973784618342</v>
      </c>
    </row>
    <row r="13" spans="1:8">
      <c r="A13" s="18" t="s">
        <v>502</v>
      </c>
      <c r="B13" s="19">
        <f>+'Resource Alloc 09-10'!B12</f>
        <v>8851.6621986503487</v>
      </c>
      <c r="C13" s="19">
        <f>+'Resource Alloc 09-10'!C12</f>
        <v>5186.01</v>
      </c>
      <c r="D13" s="19">
        <f>+'Resource Alloc 09-10'!D12</f>
        <v>9581.0442332203856</v>
      </c>
      <c r="E13" s="20"/>
      <c r="F13" s="20"/>
      <c r="G13" s="20"/>
      <c r="H13" s="21">
        <f>SUM(B13:G13)</f>
        <v>23618.716431870736</v>
      </c>
    </row>
    <row r="14" spans="1:8">
      <c r="A14" s="12" t="s">
        <v>629</v>
      </c>
      <c r="B14" s="22">
        <f>AVERAGE(B11:B13)</f>
        <v>8501.6027339665216</v>
      </c>
      <c r="C14" s="22">
        <f>AVERAGE(C11:C13)</f>
        <v>4866.4373901102308</v>
      </c>
      <c r="D14" s="22">
        <f>AVERAGE(D11:D13)</f>
        <v>8951.909106775247</v>
      </c>
      <c r="E14" s="23"/>
      <c r="F14" s="23"/>
      <c r="G14" s="23"/>
      <c r="H14" s="24">
        <f>SUM(B14:D14)</f>
        <v>22319.949230851998</v>
      </c>
    </row>
    <row r="15" spans="1:8">
      <c r="A15" s="25" t="s">
        <v>631</v>
      </c>
      <c r="B15" s="65">
        <f>+B14/$H14</f>
        <v>0.3808970462269281</v>
      </c>
      <c r="C15" s="65">
        <f>+C14/$H14</f>
        <v>0.21803084495297792</v>
      </c>
      <c r="D15" s="65">
        <f>+D14/$H14</f>
        <v>0.40107210882009403</v>
      </c>
      <c r="E15" s="20"/>
      <c r="F15" s="20"/>
      <c r="G15" s="20"/>
      <c r="H15" s="19"/>
    </row>
    <row r="16" spans="1:8">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76</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121</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+SUM('Rev-Exp Plan'!V33:V40,'Rev-Exp Plan'!V43,'Rev-Exp Plan'!V45:V51)-SUM('Rev-Exp Plan'!U33:U40,'Rev-Exp Plan'!U43,'Rev-Exp Plan'!U45:U51)-G66</f>
        <v>#REF!</v>
      </c>
      <c r="H34" s="32" t="e">
        <f>SUM(G34)</f>
        <v>#REF!</v>
      </c>
    </row>
    <row r="35" spans="1:10">
      <c r="A35" s="16"/>
      <c r="G35" s="28"/>
      <c r="H35" s="29"/>
    </row>
    <row r="36" spans="1:10">
      <c r="A36" s="20"/>
      <c r="G36" s="29"/>
    </row>
    <row r="37" spans="1:10">
      <c r="A37" s="256" t="s">
        <v>137</v>
      </c>
    </row>
    <row r="38" spans="1:10">
      <c r="A38" s="33" t="s">
        <v>337</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Ft'!Q139-'Sq Ft'!O139)*C116</f>
        <v>#REF!</v>
      </c>
      <c r="G40" s="23"/>
      <c r="H40" s="32" t="e">
        <f>SUM(F40:G40)</f>
        <v>#REF!</v>
      </c>
      <c r="J40" s="71" t="s">
        <v>111</v>
      </c>
    </row>
    <row r="41" spans="1:10">
      <c r="A41" s="20"/>
      <c r="B41" s="19"/>
      <c r="C41" s="19"/>
      <c r="D41" s="19"/>
      <c r="F41" s="28"/>
      <c r="H41" s="29"/>
    </row>
    <row r="42" spans="1:10">
      <c r="A42" s="20"/>
      <c r="B42" s="19"/>
      <c r="C42" s="19"/>
      <c r="D42" s="19"/>
    </row>
    <row r="43" spans="1:10">
      <c r="A43" s="6" t="s">
        <v>642</v>
      </c>
    </row>
    <row r="44" spans="1:10">
      <c r="A44" s="7" t="s">
        <v>180</v>
      </c>
      <c r="D44" s="7"/>
      <c r="J44" s="34"/>
    </row>
    <row r="45" spans="1:10">
      <c r="A45" s="8"/>
      <c r="B45" s="9" t="s">
        <v>619</v>
      </c>
      <c r="C45" s="9" t="s">
        <v>620</v>
      </c>
      <c r="D45" s="9" t="s">
        <v>621</v>
      </c>
      <c r="E45" s="10" t="s">
        <v>622</v>
      </c>
      <c r="F45" s="10" t="s">
        <v>623</v>
      </c>
      <c r="G45" s="10" t="s">
        <v>624</v>
      </c>
      <c r="H45" s="11" t="s">
        <v>625</v>
      </c>
    </row>
    <row r="46" spans="1:10">
      <c r="A46" s="248" t="s">
        <v>339</v>
      </c>
      <c r="B46" s="19">
        <f>+Revenues!E66</f>
        <v>8252.7565523430494</v>
      </c>
      <c r="C46" s="19">
        <f>+Revenues!C66</f>
        <v>4763.420000000001</v>
      </c>
      <c r="D46" s="19">
        <f>+Revenues!D66</f>
        <v>8265.3352733028987</v>
      </c>
      <c r="E46" s="20"/>
      <c r="F46" s="20"/>
      <c r="G46" s="19"/>
      <c r="H46" s="35">
        <f>SUM(B46:G46)</f>
        <v>21281.51182564595</v>
      </c>
    </row>
    <row r="47" spans="1:10">
      <c r="A47" s="18" t="s">
        <v>644</v>
      </c>
      <c r="B47" s="36">
        <f>AVERAGE(B46,B11,B12)</f>
        <v>8301.9675185307551</v>
      </c>
      <c r="C47" s="36">
        <f>AVERAGE(C46,C11,C12)</f>
        <v>4725.574056776898</v>
      </c>
      <c r="D47" s="36">
        <f>AVERAGE(D46,D11,D12)</f>
        <v>8513.339453469418</v>
      </c>
      <c r="E47" s="20"/>
      <c r="F47" s="20"/>
      <c r="G47" s="20">
        <f>+G46/3</f>
        <v>0</v>
      </c>
      <c r="H47" s="35">
        <f>SUM(B47:G47)</f>
        <v>21540.881028777068</v>
      </c>
    </row>
    <row r="48" spans="1:10">
      <c r="A48" s="12" t="s">
        <v>645</v>
      </c>
      <c r="B48" s="37">
        <f>+B47-B14</f>
        <v>-199.63521543576644</v>
      </c>
      <c r="C48" s="37">
        <f>+C47-C14</f>
        <v>-140.86333333333278</v>
      </c>
      <c r="D48" s="37">
        <f>+D47-D14</f>
        <v>-438.56965330582898</v>
      </c>
      <c r="E48" s="23"/>
      <c r="F48" s="23"/>
      <c r="G48" s="23">
        <f>+G47</f>
        <v>0</v>
      </c>
      <c r="H48" s="38">
        <f>SUM(B48:G48)</f>
        <v>-779.06820207492819</v>
      </c>
      <c r="J48" s="39"/>
    </row>
    <row r="49" spans="1:10">
      <c r="A49" s="7" t="s">
        <v>242</v>
      </c>
    </row>
    <row r="50" spans="1:10">
      <c r="A50" s="7"/>
      <c r="H50" s="488" t="e">
        <f>+ROUND((4366*H48-F40)/(1+C118+C117)/H48,)</f>
        <v>#REF!</v>
      </c>
    </row>
    <row r="51" spans="1:10">
      <c r="A51" s="8" t="s">
        <v>646</v>
      </c>
      <c r="B51" s="40">
        <f>3789*B48</f>
        <v>-756417.83128611906</v>
      </c>
      <c r="C51" s="40">
        <f>3789*C48</f>
        <v>-533731.16999999783</v>
      </c>
      <c r="D51" s="40">
        <f>3789*D48</f>
        <v>-1661740.4163757861</v>
      </c>
      <c r="E51" s="16"/>
      <c r="F51" s="16"/>
      <c r="G51" s="40">
        <f>3600*G48</f>
        <v>0</v>
      </c>
      <c r="H51" s="41">
        <f>SUM(B51:G51)</f>
        <v>-2951889.417661903</v>
      </c>
    </row>
    <row r="52" spans="1:10">
      <c r="A52" s="12"/>
      <c r="B52" s="31"/>
      <c r="C52" s="31"/>
      <c r="D52" s="31"/>
      <c r="E52" s="23"/>
      <c r="F52" s="23"/>
      <c r="G52" s="23"/>
      <c r="H52" s="489">
        <f>4366</f>
        <v>4366</v>
      </c>
    </row>
    <row r="53" spans="1:10">
      <c r="B53" s="339">
        <f>+B51/SUM($B51:$D51)</f>
        <v>0.25624870185186455</v>
      </c>
      <c r="C53" s="339">
        <f>+C51/SUM($B51:$D51)</f>
        <v>0.18081001503868976</v>
      </c>
      <c r="D53" s="339">
        <f>+D51/SUM($B51:$D51)</f>
        <v>0.56294128310944569</v>
      </c>
    </row>
    <row r="54" spans="1:10">
      <c r="A54" s="256" t="s">
        <v>138</v>
      </c>
      <c r="H54" s="42"/>
      <c r="J54" s="2">
        <f>3400*1.0592</f>
        <v>3601.2799999999997</v>
      </c>
    </row>
    <row r="55" spans="1:10">
      <c r="A55" s="43" t="s">
        <v>139</v>
      </c>
      <c r="J55" s="2">
        <f>3600*1.0453</f>
        <v>3763.0799999999995</v>
      </c>
    </row>
    <row r="56" spans="1:10">
      <c r="A56" s="8"/>
      <c r="B56" s="9" t="s">
        <v>619</v>
      </c>
      <c r="C56" s="9" t="s">
        <v>620</v>
      </c>
      <c r="D56" s="9" t="s">
        <v>621</v>
      </c>
      <c r="E56" s="10" t="s">
        <v>622</v>
      </c>
      <c r="F56" s="10" t="s">
        <v>623</v>
      </c>
      <c r="G56" s="10" t="s">
        <v>624</v>
      </c>
      <c r="H56" s="11" t="s">
        <v>625</v>
      </c>
      <c r="J56" s="2">
        <f>3763*(1+Assumptions!I19)</f>
        <v>3763</v>
      </c>
    </row>
    <row r="57" spans="1:10">
      <c r="A57" s="12" t="s">
        <v>646</v>
      </c>
      <c r="B57" s="23"/>
      <c r="C57" s="23"/>
      <c r="D57" s="23"/>
      <c r="E57" s="31" t="e">
        <f>C118*H51</f>
        <v>#REF!</v>
      </c>
      <c r="F57" s="31" t="e">
        <f>C117*H51</f>
        <v>#REF!</v>
      </c>
      <c r="G57" s="23"/>
      <c r="H57" s="32" t="e">
        <f>SUM(E57:G57)</f>
        <v>#REF!</v>
      </c>
      <c r="J57" s="2">
        <f>+J56*(1+Assumptions!I35)</f>
        <v>3763</v>
      </c>
    </row>
    <row r="58" spans="1:10">
      <c r="E58" s="28"/>
      <c r="F58" s="28"/>
      <c r="H58" s="29"/>
    </row>
    <row r="60" spans="1:10">
      <c r="A60" s="6" t="s">
        <v>649</v>
      </c>
    </row>
    <row r="61" spans="1:10">
      <c r="A61" s="7" t="s">
        <v>289</v>
      </c>
    </row>
    <row r="62" spans="1:10">
      <c r="A62" s="8"/>
      <c r="B62" s="44" t="s">
        <v>619</v>
      </c>
      <c r="C62" s="44" t="s">
        <v>620</v>
      </c>
      <c r="D62" s="44" t="s">
        <v>621</v>
      </c>
      <c r="E62" s="45" t="s">
        <v>622</v>
      </c>
      <c r="F62" s="45" t="s">
        <v>623</v>
      </c>
      <c r="G62" s="45" t="s">
        <v>624</v>
      </c>
      <c r="H62" s="46" t="s">
        <v>625</v>
      </c>
    </row>
    <row r="63" spans="1:10">
      <c r="A63" s="47" t="s">
        <v>650</v>
      </c>
      <c r="B63" s="48" t="e">
        <f>+'[28]10-11 Allocation '!$E$10+'[28]10-11 Allocation '!$E$11</f>
        <v>#REF!</v>
      </c>
      <c r="C63" s="48" t="e">
        <f>+'[28]10-11 Allocation '!$B$10+'[28]10-11 Allocation '!$B$11</f>
        <v>#REF!</v>
      </c>
      <c r="D63" s="48" t="e">
        <f>+'[28]10-11 Allocation '!$C$10+'[28]10-11 Allocation '!$C$11+'[28]10-11 Allocation '!$D$11</f>
        <v>#REF!</v>
      </c>
      <c r="E63" s="48" t="e">
        <f>+'[28]10-11 Allocation '!$F$10+'[28]10-11 Allocation '!$F$11</f>
        <v>#REF!</v>
      </c>
      <c r="F63" s="48" t="e">
        <f>+'[28]10-11 Allocation '!$G$10+'[28]10-11 Allocation '!$G$11</f>
        <v>#REF!</v>
      </c>
      <c r="G63" s="13" t="e">
        <f>+COLA!B74-SUM(B63:F63)</f>
        <v>#REF!</v>
      </c>
      <c r="H63" s="49" t="e">
        <f>SUM(B63:G63)</f>
        <v>#REF!</v>
      </c>
    </row>
    <row r="64" spans="1:10" s="505" customFormat="1">
      <c r="A64" s="47" t="s">
        <v>476</v>
      </c>
      <c r="B64" s="48" t="e">
        <f>+'[28]10-11 Allocation '!$E$12</f>
        <v>#REF!</v>
      </c>
      <c r="C64" s="48" t="e">
        <f>+'[28]10-11 Allocation '!$B$12</f>
        <v>#REF!</v>
      </c>
      <c r="D64" s="48" t="e">
        <f>+'[28]10-11 Allocation '!$D$10+'[28]10-11 Allocation '!$C$12+'[28]10-11 Allocation '!$D$12</f>
        <v>#REF!</v>
      </c>
      <c r="E64" s="48" t="e">
        <f>+'[28]10-11 Allocation '!$F$12</f>
        <v>#REF!</v>
      </c>
      <c r="F64" s="48" t="e">
        <f>+'[28]10-11 Allocation '!$G$12</f>
        <v>#REF!</v>
      </c>
      <c r="G64" s="13" t="e">
        <f>-SUM(B64:F64)-121570</f>
        <v>#REF!</v>
      </c>
      <c r="H64" s="49" t="e">
        <f>SUM(B64:G64)</f>
        <v>#REF!</v>
      </c>
      <c r="I64" s="4"/>
    </row>
    <row r="65" spans="1:8">
      <c r="A65" s="47" t="s">
        <v>50</v>
      </c>
      <c r="B65" s="48">
        <v>230000</v>
      </c>
      <c r="C65" s="48">
        <v>150000</v>
      </c>
      <c r="D65" s="48">
        <v>150000</v>
      </c>
      <c r="E65" s="48">
        <v>195000</v>
      </c>
      <c r="F65" s="48">
        <f>+'Sq Ft'!D76-'Sq Ft'!C76</f>
        <v>15336.799999999988</v>
      </c>
      <c r="G65" s="13"/>
      <c r="H65" s="49">
        <f>SUM(B65:G65)</f>
        <v>740336.8</v>
      </c>
    </row>
    <row r="66" spans="1:8">
      <c r="A66" s="47" t="s">
        <v>11</v>
      </c>
      <c r="B66" s="538" t="e">
        <f>+[29]Sheet1!$D$2</f>
        <v>#REF!</v>
      </c>
      <c r="C66" s="538" t="e">
        <f>+[29]Sheet1!$B$2</f>
        <v>#REF!</v>
      </c>
      <c r="D66" s="538" t="e">
        <f>+[29]Sheet1!$C$2</f>
        <v>#REF!</v>
      </c>
      <c r="E66" s="538" t="e">
        <f>+[29]Sheet1!$E$2</f>
        <v>#REF!</v>
      </c>
      <c r="F66" s="538" t="e">
        <f>+[29]Sheet1!$F$2</f>
        <v>#REF!</v>
      </c>
      <c r="G66" s="182" t="e">
        <f>-SUM(B66:F66)</f>
        <v>#REF!</v>
      </c>
      <c r="H66" s="539" t="e">
        <f>SUM(B66:G66)</f>
        <v>#REF!</v>
      </c>
    </row>
    <row r="67" spans="1:8">
      <c r="A67" s="50"/>
      <c r="B67" s="51" t="e">
        <f t="shared" ref="B67:H67" si="0">SUM(B63:B66)</f>
        <v>#REF!</v>
      </c>
      <c r="C67" s="51" t="e">
        <f t="shared" si="0"/>
        <v>#REF!</v>
      </c>
      <c r="D67" s="51" t="e">
        <f t="shared" si="0"/>
        <v>#REF!</v>
      </c>
      <c r="E67" s="51" t="e">
        <f t="shared" si="0"/>
        <v>#REF!</v>
      </c>
      <c r="F67" s="51" t="e">
        <f t="shared" si="0"/>
        <v>#REF!</v>
      </c>
      <c r="G67" s="51" t="e">
        <f t="shared" si="0"/>
        <v>#REF!</v>
      </c>
      <c r="H67" s="53" t="e">
        <f t="shared" si="0"/>
        <v>#REF!</v>
      </c>
    </row>
    <row r="68" spans="1:8">
      <c r="A68" s="54"/>
    </row>
    <row r="69" spans="1:8">
      <c r="B69" s="339" t="e">
        <f>+SUM(B63:B64)/SUM($B63:$D64)</f>
        <v>#REF!</v>
      </c>
      <c r="C69" s="339" t="e">
        <f>+SUM(C63:C64)/SUM($B63:$D64)</f>
        <v>#REF!</v>
      </c>
      <c r="D69" s="339" t="e">
        <f>+SUM(D63:D64)/SUM($B63:$D64)</f>
        <v>#REF!</v>
      </c>
    </row>
    <row r="70" spans="1:8">
      <c r="A70" s="6" t="s">
        <v>653</v>
      </c>
    </row>
    <row r="71" spans="1:8">
      <c r="A71" s="7" t="s">
        <v>48</v>
      </c>
    </row>
    <row r="72" spans="1:8">
      <c r="A72" s="7" t="s">
        <v>654</v>
      </c>
    </row>
    <row r="73" spans="1:8">
      <c r="A73" s="2" t="s">
        <v>655</v>
      </c>
      <c r="B73" s="29" t="e">
        <f>+H9</f>
        <v>#REF!</v>
      </c>
      <c r="D73" s="71" t="s">
        <v>425</v>
      </c>
      <c r="E73" s="55">
        <f>+Revenues!F54</f>
        <v>20557.443109215601</v>
      </c>
      <c r="F73" s="2" t="s">
        <v>656</v>
      </c>
    </row>
    <row r="74" spans="1:8">
      <c r="A74" s="71" t="s">
        <v>119</v>
      </c>
      <c r="B74" s="28">
        <f>+'SB361'!H18</f>
        <v>0</v>
      </c>
      <c r="D74" s="71" t="s">
        <v>339</v>
      </c>
      <c r="E74" s="39">
        <f>+Revenues!F63</f>
        <v>20750.300973064772</v>
      </c>
      <c r="F74" s="2" t="s">
        <v>657</v>
      </c>
    </row>
    <row r="75" spans="1:8">
      <c r="A75" s="2" t="s">
        <v>652</v>
      </c>
      <c r="B75" s="28">
        <f>+'SB361'!H19</f>
        <v>2568214.6937320032</v>
      </c>
      <c r="D75" s="2" t="s">
        <v>658</v>
      </c>
      <c r="E75" s="39">
        <f>MAX(E74-E73,0)</f>
        <v>192.85786384917083</v>
      </c>
    </row>
    <row r="76" spans="1:8">
      <c r="A76" s="2" t="s">
        <v>659</v>
      </c>
      <c r="B76" s="28" t="e">
        <f>+'Rev-Exp Plan'!V25-SUM('Resource Alloc 10-11'!B73:B75)</f>
        <v>#REF!</v>
      </c>
      <c r="D76" s="54" t="s">
        <v>478</v>
      </c>
      <c r="E76" s="56" t="e">
        <f>IF(+'Rev-Exp Plan'!V55&lt;0,'Rev-Exp Plan'!V55,0)*0</f>
        <v>#REF!</v>
      </c>
      <c r="F76" s="181"/>
    </row>
    <row r="77" spans="1:8">
      <c r="A77" s="71" t="s">
        <v>120</v>
      </c>
      <c r="B77" s="57" t="e">
        <f>SUM(B73:B76)</f>
        <v>#REF!</v>
      </c>
      <c r="D77" s="71" t="s">
        <v>344</v>
      </c>
      <c r="E77" s="55">
        <v>-68420</v>
      </c>
    </row>
    <row r="78" spans="1:8">
      <c r="A78" s="2" t="s">
        <v>660</v>
      </c>
      <c r="B78" s="29" t="e">
        <f>+B77-B73</f>
        <v>#REF!</v>
      </c>
    </row>
    <row r="79" spans="1:8">
      <c r="A79" s="2" t="s">
        <v>479</v>
      </c>
      <c r="B79" s="29" t="e">
        <f>+B78-E76-E77</f>
        <v>#REF!</v>
      </c>
      <c r="C79" s="243"/>
    </row>
    <row r="80" spans="1:8">
      <c r="A80" s="2" t="s">
        <v>661</v>
      </c>
      <c r="C80" s="29"/>
    </row>
    <row r="81" spans="1:8">
      <c r="A81" s="2" t="s">
        <v>662</v>
      </c>
      <c r="B81" s="29" t="e">
        <f>+H28</f>
        <v>#REF!</v>
      </c>
    </row>
    <row r="82" spans="1:8">
      <c r="A82" s="2" t="s">
        <v>663</v>
      </c>
      <c r="B82" s="29" t="e">
        <f>+H34</f>
        <v>#REF!</v>
      </c>
    </row>
    <row r="83" spans="1:8">
      <c r="A83" s="2" t="s">
        <v>664</v>
      </c>
      <c r="B83" s="29" t="e">
        <f>+H40</f>
        <v>#REF!</v>
      </c>
    </row>
    <row r="84" spans="1:8">
      <c r="A84" s="2" t="s">
        <v>665</v>
      </c>
      <c r="B84" s="29">
        <f>+H51</f>
        <v>-2951889.417661903</v>
      </c>
    </row>
    <row r="85" spans="1:8">
      <c r="A85" s="2" t="s">
        <v>666</v>
      </c>
      <c r="B85" s="29" t="e">
        <f>+H57</f>
        <v>#REF!</v>
      </c>
    </row>
    <row r="86" spans="1:8">
      <c r="A86" s="2" t="s">
        <v>667</v>
      </c>
      <c r="B86" s="29" t="e">
        <f>+H67</f>
        <v>#REF!</v>
      </c>
    </row>
    <row r="87" spans="1:8">
      <c r="B87" s="57" t="e">
        <f>SUM(B81:B86)</f>
        <v>#REF!</v>
      </c>
    </row>
    <row r="88" spans="1:8">
      <c r="A88" s="2" t="s">
        <v>668</v>
      </c>
      <c r="B88" s="29" t="e">
        <f>+B79-B87</f>
        <v>#REF!</v>
      </c>
    </row>
    <row r="89" spans="1:8">
      <c r="B89" s="29"/>
    </row>
    <row r="90" spans="1:8">
      <c r="A90" s="8"/>
      <c r="B90" s="9" t="s">
        <v>619</v>
      </c>
      <c r="C90" s="9" t="s">
        <v>620</v>
      </c>
      <c r="D90" s="9" t="s">
        <v>621</v>
      </c>
      <c r="E90" s="10" t="s">
        <v>622</v>
      </c>
      <c r="F90" s="10" t="s">
        <v>623</v>
      </c>
      <c r="G90" s="10" t="s">
        <v>624</v>
      </c>
      <c r="H90" s="11" t="s">
        <v>625</v>
      </c>
    </row>
    <row r="91" spans="1:8">
      <c r="A91" s="248" t="s">
        <v>336</v>
      </c>
      <c r="B91" s="58" t="e">
        <f>+B9</f>
        <v>#REF!</v>
      </c>
      <c r="C91" s="58" t="e">
        <f>+C9</f>
        <v>#REF!</v>
      </c>
      <c r="D91" s="58" t="e">
        <f>+D9</f>
        <v>#REF!</v>
      </c>
      <c r="E91" s="58" t="e">
        <f>+E9</f>
        <v>#REF!</v>
      </c>
      <c r="F91" s="58" t="e">
        <f>+F9</f>
        <v>#REF!</v>
      </c>
      <c r="G91" s="59" t="s">
        <v>669</v>
      </c>
      <c r="H91" s="49" t="e">
        <f>SUM(B91:G91)</f>
        <v>#REF!</v>
      </c>
    </row>
    <row r="92" spans="1:8">
      <c r="A92" s="60" t="s">
        <v>670</v>
      </c>
      <c r="B92" s="26" t="e">
        <f>+B91/$H91</f>
        <v>#REF!</v>
      </c>
      <c r="C92" s="26" t="e">
        <f>+C91/$H91</f>
        <v>#REF!</v>
      </c>
      <c r="D92" s="26" t="e">
        <f>+D91/$H91</f>
        <v>#REF!</v>
      </c>
      <c r="E92" s="26" t="e">
        <f>+E91/$H91</f>
        <v>#REF!</v>
      </c>
      <c r="F92" s="26" t="e">
        <f>+F91/$H91</f>
        <v>#REF!</v>
      </c>
      <c r="G92" s="26"/>
      <c r="H92" s="61"/>
    </row>
    <row r="93" spans="1:8">
      <c r="A93" s="62" t="s">
        <v>671</v>
      </c>
      <c r="B93" s="31" t="e">
        <f>MAX(+B91*-0.1,B92*$B88)</f>
        <v>#REF!</v>
      </c>
      <c r="C93" s="31" t="e">
        <f>MAX(+C91*-0.1,C92*$B88)</f>
        <v>#REF!</v>
      </c>
      <c r="D93" s="31" t="e">
        <f>MAX(+D91*-0.1,D92*$B88)</f>
        <v>#REF!</v>
      </c>
      <c r="E93" s="31" t="e">
        <f>MAX(+E91*-0.1,E92*$B88)+(Foundation!H47-Foundation!D16)</f>
        <v>#REF!</v>
      </c>
      <c r="F93" s="31" t="e">
        <f>MAX(+F91*-0.1,F92*$B88)</f>
        <v>#REF!</v>
      </c>
      <c r="G93" s="31" t="e">
        <f>+G92*$B88</f>
        <v>#REF!</v>
      </c>
      <c r="H93" s="32" t="e">
        <f>SUM(B93:G93)</f>
        <v>#REF!</v>
      </c>
    </row>
    <row r="94" spans="1:8">
      <c r="A94" s="25"/>
      <c r="B94" s="28"/>
      <c r="C94" s="28"/>
      <c r="D94" s="28"/>
      <c r="E94" s="28"/>
      <c r="F94" s="28"/>
      <c r="G94" s="28"/>
      <c r="H94" s="29"/>
    </row>
    <row r="96" spans="1:8">
      <c r="A96" s="2" t="s">
        <v>672</v>
      </c>
    </row>
    <row r="97" spans="1:10">
      <c r="A97" s="7" t="s">
        <v>118</v>
      </c>
    </row>
    <row r="98" spans="1:10">
      <c r="A98" s="8"/>
      <c r="B98" s="9" t="s">
        <v>619</v>
      </c>
      <c r="C98" s="9" t="s">
        <v>620</v>
      </c>
      <c r="D98" s="9" t="s">
        <v>621</v>
      </c>
      <c r="E98" s="10" t="s">
        <v>622</v>
      </c>
      <c r="F98" s="10" t="s">
        <v>623</v>
      </c>
      <c r="G98" s="10" t="s">
        <v>624</v>
      </c>
      <c r="H98" s="11" t="s">
        <v>625</v>
      </c>
    </row>
    <row r="99" spans="1:10">
      <c r="A99" s="248" t="s">
        <v>336</v>
      </c>
      <c r="B99" s="13" t="e">
        <f t="shared" ref="B99:G99" si="1">+B9</f>
        <v>#REF!</v>
      </c>
      <c r="C99" s="13" t="e">
        <f t="shared" si="1"/>
        <v>#REF!</v>
      </c>
      <c r="D99" s="13" t="e">
        <f t="shared" si="1"/>
        <v>#REF!</v>
      </c>
      <c r="E99" s="13" t="e">
        <f t="shared" si="1"/>
        <v>#REF!</v>
      </c>
      <c r="F99" s="13" t="e">
        <f t="shared" si="1"/>
        <v>#REF!</v>
      </c>
      <c r="G99" s="13" t="e">
        <f t="shared" si="1"/>
        <v>#REF!</v>
      </c>
      <c r="H99" s="14" t="e">
        <f t="shared" ref="H99:H106" si="2">SUM(B99:G99)</f>
        <v>#REF!</v>
      </c>
    </row>
    <row r="100" spans="1:10">
      <c r="A100" s="18" t="s">
        <v>662</v>
      </c>
      <c r="B100" s="58" t="e">
        <f t="shared" ref="B100:G100" si="3">+B28</f>
        <v>#REF!</v>
      </c>
      <c r="C100" s="58" t="e">
        <f t="shared" si="3"/>
        <v>#REF!</v>
      </c>
      <c r="D100" s="58" t="e">
        <f t="shared" si="3"/>
        <v>#REF!</v>
      </c>
      <c r="E100" s="58">
        <f t="shared" si="3"/>
        <v>0</v>
      </c>
      <c r="F100" s="58">
        <f t="shared" si="3"/>
        <v>0</v>
      </c>
      <c r="G100" s="58">
        <f t="shared" si="3"/>
        <v>0</v>
      </c>
      <c r="H100" s="49" t="e">
        <f t="shared" si="2"/>
        <v>#REF!</v>
      </c>
    </row>
    <row r="101" spans="1:10">
      <c r="A101" s="18" t="s">
        <v>673</v>
      </c>
      <c r="B101" s="13">
        <f t="shared" ref="B101:G101" si="4">+B34</f>
        <v>0</v>
      </c>
      <c r="C101" s="13">
        <f t="shared" si="4"/>
        <v>0</v>
      </c>
      <c r="D101" s="13">
        <f t="shared" si="4"/>
        <v>0</v>
      </c>
      <c r="E101" s="13">
        <f t="shared" si="4"/>
        <v>0</v>
      </c>
      <c r="F101" s="13">
        <f t="shared" si="4"/>
        <v>0</v>
      </c>
      <c r="G101" s="13" t="e">
        <f t="shared" si="4"/>
        <v>#REF!</v>
      </c>
      <c r="H101" s="49" t="e">
        <f t="shared" si="2"/>
        <v>#REF!</v>
      </c>
    </row>
    <row r="102" spans="1:10">
      <c r="A102" s="18" t="s">
        <v>664</v>
      </c>
      <c r="B102" s="13">
        <f t="shared" ref="B102:G102" si="5">+B40</f>
        <v>0</v>
      </c>
      <c r="C102" s="13">
        <f t="shared" si="5"/>
        <v>0</v>
      </c>
      <c r="D102" s="13">
        <f t="shared" si="5"/>
        <v>0</v>
      </c>
      <c r="E102" s="13">
        <f t="shared" si="5"/>
        <v>0</v>
      </c>
      <c r="F102" s="13" t="e">
        <f t="shared" si="5"/>
        <v>#REF!</v>
      </c>
      <c r="G102" s="13">
        <f t="shared" si="5"/>
        <v>0</v>
      </c>
      <c r="H102" s="49" t="e">
        <f t="shared" si="2"/>
        <v>#REF!</v>
      </c>
    </row>
    <row r="103" spans="1:10">
      <c r="A103" s="18" t="s">
        <v>665</v>
      </c>
      <c r="B103" s="58">
        <f t="shared" ref="B103:G103" si="6">+B51</f>
        <v>-756417.83128611906</v>
      </c>
      <c r="C103" s="58">
        <f t="shared" si="6"/>
        <v>-533731.16999999783</v>
      </c>
      <c r="D103" s="58">
        <f t="shared" si="6"/>
        <v>-1661740.4163757861</v>
      </c>
      <c r="E103" s="58">
        <f t="shared" si="6"/>
        <v>0</v>
      </c>
      <c r="F103" s="58">
        <f t="shared" si="6"/>
        <v>0</v>
      </c>
      <c r="G103" s="58">
        <f t="shared" si="6"/>
        <v>0</v>
      </c>
      <c r="H103" s="49">
        <f t="shared" si="2"/>
        <v>-2951889.417661903</v>
      </c>
      <c r="J103" s="29"/>
    </row>
    <row r="104" spans="1:10">
      <c r="A104" s="18" t="s">
        <v>666</v>
      </c>
      <c r="B104" s="13">
        <f t="shared" ref="B104:G104" si="7">+B57</f>
        <v>0</v>
      </c>
      <c r="C104" s="13">
        <f t="shared" si="7"/>
        <v>0</v>
      </c>
      <c r="D104" s="13">
        <f t="shared" si="7"/>
        <v>0</v>
      </c>
      <c r="E104" s="13" t="e">
        <f t="shared" si="7"/>
        <v>#REF!</v>
      </c>
      <c r="F104" s="13" t="e">
        <f t="shared" si="7"/>
        <v>#REF!</v>
      </c>
      <c r="G104" s="13">
        <f t="shared" si="7"/>
        <v>0</v>
      </c>
      <c r="H104" s="49" t="e">
        <f t="shared" si="2"/>
        <v>#REF!</v>
      </c>
    </row>
    <row r="105" spans="1:10">
      <c r="A105" s="18" t="s">
        <v>667</v>
      </c>
      <c r="B105" s="13" t="e">
        <f t="shared" ref="B105:G105" si="8">+B67</f>
        <v>#REF!</v>
      </c>
      <c r="C105" s="13" t="e">
        <f t="shared" si="8"/>
        <v>#REF!</v>
      </c>
      <c r="D105" s="13" t="e">
        <f t="shared" si="8"/>
        <v>#REF!</v>
      </c>
      <c r="E105" s="13" t="e">
        <f t="shared" si="8"/>
        <v>#REF!</v>
      </c>
      <c r="F105" s="13" t="e">
        <f t="shared" si="8"/>
        <v>#REF!</v>
      </c>
      <c r="G105" s="13" t="e">
        <f t="shared" si="8"/>
        <v>#REF!</v>
      </c>
      <c r="H105" s="49" t="e">
        <f t="shared" si="2"/>
        <v>#REF!</v>
      </c>
    </row>
    <row r="106" spans="1:10">
      <c r="A106" s="18" t="s">
        <v>674</v>
      </c>
      <c r="B106" s="63" t="e">
        <f t="shared" ref="B106:G106" si="9">+B93</f>
        <v>#REF!</v>
      </c>
      <c r="C106" s="63" t="e">
        <f t="shared" si="9"/>
        <v>#REF!</v>
      </c>
      <c r="D106" s="63" t="e">
        <f t="shared" si="9"/>
        <v>#REF!</v>
      </c>
      <c r="E106" s="63" t="e">
        <f t="shared" si="9"/>
        <v>#REF!</v>
      </c>
      <c r="F106" s="63" t="e">
        <f t="shared" si="9"/>
        <v>#REF!</v>
      </c>
      <c r="G106" s="63" t="e">
        <f t="shared" si="9"/>
        <v>#REF!</v>
      </c>
      <c r="H106" s="32" t="e">
        <f t="shared" si="2"/>
        <v>#REF!</v>
      </c>
    </row>
    <row r="107" spans="1:10">
      <c r="A107" s="18" t="s">
        <v>675</v>
      </c>
      <c r="B107" s="63" t="e">
        <f t="shared" ref="B107:H107" si="10">SUM(B100:B106)</f>
        <v>#REF!</v>
      </c>
      <c r="C107" s="63" t="e">
        <f t="shared" si="10"/>
        <v>#REF!</v>
      </c>
      <c r="D107" s="63" t="e">
        <f t="shared" si="10"/>
        <v>#REF!</v>
      </c>
      <c r="E107" s="63" t="e">
        <f t="shared" si="10"/>
        <v>#REF!</v>
      </c>
      <c r="F107" s="63" t="e">
        <f t="shared" si="10"/>
        <v>#REF!</v>
      </c>
      <c r="G107" s="63" t="e">
        <f t="shared" si="10"/>
        <v>#REF!</v>
      </c>
      <c r="H107" s="32" t="e">
        <f t="shared" si="10"/>
        <v>#REF!</v>
      </c>
    </row>
    <row r="108" spans="1:10">
      <c r="A108" s="8"/>
      <c r="B108" s="9" t="s">
        <v>619</v>
      </c>
      <c r="C108" s="9" t="s">
        <v>620</v>
      </c>
      <c r="D108" s="9" t="s">
        <v>621</v>
      </c>
      <c r="E108" s="10" t="s">
        <v>622</v>
      </c>
      <c r="F108" s="10" t="s">
        <v>623</v>
      </c>
      <c r="G108" s="10" t="s">
        <v>624</v>
      </c>
      <c r="H108" s="11" t="s">
        <v>625</v>
      </c>
    </row>
    <row r="109" spans="1:10">
      <c r="A109" s="254" t="s">
        <v>284</v>
      </c>
      <c r="B109" s="64" t="e">
        <f>+B107+B99</f>
        <v>#REF!</v>
      </c>
      <c r="C109" s="64" t="e">
        <f>+C107+C99</f>
        <v>#REF!</v>
      </c>
      <c r="D109" s="64" t="e">
        <f>+D107+D99</f>
        <v>#REF!</v>
      </c>
      <c r="E109" s="64" t="e">
        <f>+E107+E99</f>
        <v>#REF!</v>
      </c>
      <c r="F109" s="64" t="e">
        <f>+F107+F99</f>
        <v>#REF!</v>
      </c>
      <c r="G109" s="64" t="e">
        <f>+G107+G99-0.5</f>
        <v>#REF!</v>
      </c>
      <c r="H109" s="53" t="e">
        <f>+H107+H99</f>
        <v>#REF!</v>
      </c>
    </row>
    <row r="110" spans="1:10">
      <c r="H110" s="29"/>
    </row>
    <row r="111" spans="1:10">
      <c r="A111" s="314" t="s">
        <v>205</v>
      </c>
      <c r="B111" s="65" t="e">
        <f t="shared" ref="B111:G111" si="11">+B107/B99</f>
        <v>#REF!</v>
      </c>
      <c r="C111" s="65" t="e">
        <f t="shared" si="11"/>
        <v>#REF!</v>
      </c>
      <c r="D111" s="65" t="e">
        <f t="shared" si="11"/>
        <v>#REF!</v>
      </c>
      <c r="E111" s="65" t="e">
        <f t="shared" si="11"/>
        <v>#REF!</v>
      </c>
      <c r="F111" s="65" t="e">
        <f t="shared" si="11"/>
        <v>#REF!</v>
      </c>
      <c r="G111" s="65" t="e">
        <f t="shared" si="11"/>
        <v>#REF!</v>
      </c>
      <c r="H111" s="20"/>
    </row>
    <row r="112" spans="1:10">
      <c r="A112" s="20"/>
      <c r="B112" s="65"/>
      <c r="C112" s="65"/>
      <c r="D112" s="65"/>
      <c r="E112" s="65"/>
      <c r="F112" s="65"/>
      <c r="G112" s="65"/>
      <c r="H112" s="58"/>
    </row>
    <row r="113" spans="1:8">
      <c r="F113" s="20"/>
      <c r="G113" s="20"/>
      <c r="H113" s="29"/>
    </row>
    <row r="114" spans="1:8">
      <c r="F114" s="20"/>
      <c r="G114" s="58"/>
      <c r="H114" s="29"/>
    </row>
    <row r="115" spans="1:8">
      <c r="A115" s="66" t="s">
        <v>677</v>
      </c>
      <c r="C115" s="67">
        <f>+'Sq Ft'!Q139</f>
        <v>1479659</v>
      </c>
      <c r="F115" s="20"/>
      <c r="G115" s="58"/>
    </row>
    <row r="116" spans="1:8">
      <c r="A116" s="2" t="s">
        <v>679</v>
      </c>
      <c r="C116" s="68" t="e">
        <f>+'Resource Alloc 09-10'!C115*(1+Assumptions!I35)</f>
        <v>#REF!</v>
      </c>
      <c r="D116" s="2" t="e">
        <f>+F99/C115/2</f>
        <v>#REF!</v>
      </c>
      <c r="F116" s="20"/>
      <c r="G116" s="58"/>
    </row>
    <row r="117" spans="1:8">
      <c r="A117" s="2" t="s">
        <v>680</v>
      </c>
      <c r="C117" s="69" t="e">
        <f>+F9/SUM($B9:$D9)/2</f>
        <v>#REF!</v>
      </c>
      <c r="H117" s="29"/>
    </row>
    <row r="118" spans="1:8">
      <c r="A118" s="2" t="s">
        <v>681</v>
      </c>
      <c r="C118" s="69" t="e">
        <f>+E9/SUM($B9:$D9)</f>
        <v>#REF!</v>
      </c>
    </row>
    <row r="120" spans="1:8">
      <c r="D120" s="55"/>
    </row>
    <row r="121" spans="1:8">
      <c r="D121" s="39"/>
    </row>
  </sheetData>
  <phoneticPr fontId="61" type="noConversion"/>
  <printOptions horizontalCentered="1"/>
  <pageMargins left="0.25" right="0.25" top="1" bottom="1" header="0.5" footer="0.5"/>
  <pageSetup scale="90" fitToHeight="3" orientation="landscape" r:id="rId1"/>
  <headerFooter alignWithMargins="0">
    <oddHeader>&amp;CPreliminary Budget 10/11
&amp;D</oddHeader>
  </headerFooter>
  <rowBreaks count="2" manualBreakCount="2">
    <brk id="36" max="8" man="1"/>
    <brk id="68"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124"/>
  <sheetViews>
    <sheetView workbookViewId="0"/>
  </sheetViews>
  <sheetFormatPr defaultColWidth="9.28515625" defaultRowHeight="12.75"/>
  <cols>
    <col min="1" max="1" width="19.42578125" style="2" customWidth="1"/>
    <col min="2" max="2" width="13.42578125" style="2" customWidth="1"/>
    <col min="3" max="3" width="13.42578125" style="128" customWidth="1"/>
    <col min="4" max="5" width="13.42578125" style="2" customWidth="1"/>
    <col min="6" max="6" width="14" style="2" bestFit="1" customWidth="1"/>
    <col min="7" max="7" width="15.28515625" style="2" bestFit="1" customWidth="1"/>
    <col min="8" max="8" width="16" style="2" bestFit="1" customWidth="1"/>
    <col min="9" max="9" width="7" style="4" bestFit="1" customWidth="1"/>
    <col min="10" max="10" width="22.42578125" style="2" bestFit="1" customWidth="1"/>
    <col min="11" max="16384" width="9.28515625" style="2"/>
  </cols>
  <sheetData>
    <row r="1" spans="1:9">
      <c r="A1" s="1" t="s">
        <v>422</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10" t="s">
        <v>620</v>
      </c>
      <c r="D8" s="9" t="s">
        <v>621</v>
      </c>
      <c r="E8" s="10" t="s">
        <v>622</v>
      </c>
      <c r="F8" s="10" t="s">
        <v>623</v>
      </c>
      <c r="G8" s="10" t="s">
        <v>624</v>
      </c>
      <c r="H8" s="11" t="s">
        <v>625</v>
      </c>
    </row>
    <row r="9" spans="1:9">
      <c r="A9" s="12" t="s">
        <v>407</v>
      </c>
      <c r="B9" s="13" t="e">
        <f>+'Resource Alloc 08-09'!B108</f>
        <v>#REF!</v>
      </c>
      <c r="C9" s="125" t="e">
        <f>+'Resource Alloc 08-09'!C108</f>
        <v>#REF!</v>
      </c>
      <c r="D9" s="13" t="e">
        <f>+'Resource Alloc 08-09'!D108</f>
        <v>#REF!</v>
      </c>
      <c r="E9" s="13" t="e">
        <f>+'Resource Alloc 08-09'!E108</f>
        <v>#REF!</v>
      </c>
      <c r="F9" s="13" t="e">
        <f>+'Resource Alloc 08-09'!F108</f>
        <v>#REF!</v>
      </c>
      <c r="G9" s="13" t="e">
        <f>+'Resource Alloc 08-09'!G108</f>
        <v>#REF!</v>
      </c>
      <c r="H9" s="14" t="e">
        <f>SUM(B9:G9)</f>
        <v>#REF!</v>
      </c>
      <c r="I9" s="4" t="s">
        <v>626</v>
      </c>
    </row>
    <row r="10" spans="1:9">
      <c r="B10" s="69" t="e">
        <f>+B9/SUM($B9:$D9)</f>
        <v>#REF!</v>
      </c>
      <c r="C10" s="69" t="e">
        <f>+C9/SUM($B9:$D9)</f>
        <v>#REF!</v>
      </c>
      <c r="D10" s="69" t="e">
        <f>+D9/SUM($B9:$D9)</f>
        <v>#REF!</v>
      </c>
    </row>
    <row r="11" spans="1:9">
      <c r="A11" s="8" t="s">
        <v>404</v>
      </c>
      <c r="B11" s="320">
        <v>8139.2059138867198</v>
      </c>
      <c r="C11" s="400">
        <v>4774.0300000000007</v>
      </c>
      <c r="D11" s="320">
        <v>9353.737870731622</v>
      </c>
      <c r="E11" s="16"/>
      <c r="F11" s="16"/>
      <c r="G11" s="16"/>
      <c r="H11" s="17">
        <f>SUM(B11:G11)</f>
        <v>22266.973784618342</v>
      </c>
    </row>
    <row r="12" spans="1:9">
      <c r="A12" s="20" t="s">
        <v>502</v>
      </c>
      <c r="B12" s="19">
        <f>+Revenues!E39</f>
        <v>8851.6621986503487</v>
      </c>
      <c r="C12" s="129">
        <f>+Revenues!C39</f>
        <v>5186.01</v>
      </c>
      <c r="D12" s="19">
        <f>+Revenues!D39</f>
        <v>9581.0442332203856</v>
      </c>
      <c r="E12" s="20"/>
      <c r="F12" s="20"/>
      <c r="G12" s="20"/>
      <c r="H12" s="21">
        <f>SUM(B12:G12)</f>
        <v>23618.716431870736</v>
      </c>
    </row>
    <row r="13" spans="1:9">
      <c r="A13" s="18" t="s">
        <v>643</v>
      </c>
      <c r="B13" s="19">
        <f>+'Resource Alloc 08-09'!B12</f>
        <v>6801.1438873313609</v>
      </c>
      <c r="C13" s="129">
        <f>+'Resource Alloc 08-09'!C12</f>
        <v>4254.28</v>
      </c>
      <c r="D13" s="19">
        <f>+'Resource Alloc 08-09'!D12</f>
        <v>8790.8246633313338</v>
      </c>
      <c r="E13" s="20"/>
      <c r="F13" s="20"/>
      <c r="G13" s="20"/>
      <c r="H13" s="21">
        <f>SUM(B13:G13)</f>
        <v>19846.248550662694</v>
      </c>
    </row>
    <row r="14" spans="1:9">
      <c r="A14" s="12" t="s">
        <v>629</v>
      </c>
      <c r="B14" s="22">
        <f>AVERAGE(B11:B13)</f>
        <v>7930.6706666228092</v>
      </c>
      <c r="C14" s="133">
        <f>AVERAGE(C11:C13)</f>
        <v>4738.1066666666666</v>
      </c>
      <c r="D14" s="22">
        <f>AVERAGE(D11:D13)</f>
        <v>9241.8689224277787</v>
      </c>
      <c r="E14" s="23"/>
      <c r="F14" s="23"/>
      <c r="G14" s="23"/>
      <c r="H14" s="24">
        <f>SUM(B14:D14)</f>
        <v>21910.646255717256</v>
      </c>
      <c r="I14" s="4" t="s">
        <v>630</v>
      </c>
    </row>
    <row r="15" spans="1:9">
      <c r="A15" s="25" t="s">
        <v>631</v>
      </c>
      <c r="B15" s="65">
        <f>+B14/$H14</f>
        <v>0.3619551232795527</v>
      </c>
      <c r="C15" s="576">
        <f>+C14/$H14</f>
        <v>0.21624677845503204</v>
      </c>
      <c r="D15" s="65">
        <f>+D14/$H14</f>
        <v>0.4217980982654152</v>
      </c>
      <c r="E15" s="20"/>
      <c r="F15" s="20"/>
      <c r="G15" s="20"/>
      <c r="H15" s="19"/>
    </row>
    <row r="16" spans="1:9">
      <c r="A16" s="25"/>
      <c r="B16" s="26"/>
      <c r="C16" s="401"/>
      <c r="D16" s="26"/>
      <c r="E16" s="20"/>
      <c r="F16" s="20"/>
      <c r="G16" s="20"/>
      <c r="H16" s="19"/>
    </row>
    <row r="17" spans="1:8">
      <c r="A17" s="27" t="s">
        <v>632</v>
      </c>
    </row>
    <row r="18" spans="1:8">
      <c r="A18" s="20" t="s">
        <v>633</v>
      </c>
      <c r="B18" s="28" t="e">
        <f>0.8*B9</f>
        <v>#REF!</v>
      </c>
      <c r="C18" s="365" t="e">
        <f>0.8*C9</f>
        <v>#REF!</v>
      </c>
      <c r="D18" s="28" t="e">
        <f>0.8*D9</f>
        <v>#REF!</v>
      </c>
      <c r="H18" s="28" t="e">
        <f>SUM(B18:G18)</f>
        <v>#REF!</v>
      </c>
    </row>
    <row r="19" spans="1:8">
      <c r="A19" s="20"/>
    </row>
    <row r="20" spans="1:8">
      <c r="A20" s="27" t="s">
        <v>634</v>
      </c>
    </row>
    <row r="21" spans="1:8">
      <c r="A21" s="20" t="s">
        <v>635</v>
      </c>
      <c r="B21" s="28" t="e">
        <f>+($H9-$H18-$E9-$F9-$G9)/$H14*B14</f>
        <v>#REF!</v>
      </c>
      <c r="C21" s="365" t="e">
        <f>+($H9-$H18-$E9-$F9-$G9)/$H14*C14</f>
        <v>#REF!</v>
      </c>
      <c r="D21" s="28" t="e">
        <f>+($H9-$H18-$E9-$F9-$G9)/$H14*D14</f>
        <v>#REF!</v>
      </c>
      <c r="H21" s="28" t="e">
        <f>SUM(B21:G21)</f>
        <v>#REF!</v>
      </c>
    </row>
    <row r="22" spans="1:8">
      <c r="A22" s="20"/>
    </row>
    <row r="23" spans="1:8">
      <c r="A23" s="27" t="s">
        <v>136</v>
      </c>
    </row>
    <row r="24" spans="1:8">
      <c r="A24" s="20" t="s">
        <v>625</v>
      </c>
      <c r="B24" s="29" t="e">
        <f>+B21+B18</f>
        <v>#REF!</v>
      </c>
      <c r="C24" s="385" t="e">
        <f>+C21+C18</f>
        <v>#REF!</v>
      </c>
      <c r="D24" s="29" t="e">
        <f>+D21+D18</f>
        <v>#REF!</v>
      </c>
      <c r="H24" s="28" t="e">
        <f>SUM(B24:G24)</f>
        <v>#REF!</v>
      </c>
    </row>
    <row r="25" spans="1:8">
      <c r="A25" s="25" t="s">
        <v>636</v>
      </c>
      <c r="B25" s="29" t="e">
        <f>+B24-B9</f>
        <v>#REF!</v>
      </c>
      <c r="C25" s="385" t="e">
        <f>+C24-C9</f>
        <v>#REF!</v>
      </c>
      <c r="D25" s="29" t="e">
        <f>+D24-D9</f>
        <v>#REF!</v>
      </c>
      <c r="H25" s="28" t="e">
        <f>SUM(B25:G25)</f>
        <v>#REF!</v>
      </c>
    </row>
    <row r="26" spans="1:8">
      <c r="A26" s="25"/>
    </row>
    <row r="27" spans="1:8">
      <c r="A27" s="30" t="s">
        <v>637</v>
      </c>
    </row>
    <row r="28" spans="1:8">
      <c r="A28" s="25" t="s">
        <v>638</v>
      </c>
      <c r="B28" s="29" t="e">
        <f>MAX(B25,0)</f>
        <v>#REF!</v>
      </c>
      <c r="C28" s="385" t="e">
        <f>MAX(C25,0)</f>
        <v>#REF!</v>
      </c>
      <c r="D28" s="29" t="e">
        <f>MAX(D25,0)</f>
        <v>#REF!</v>
      </c>
      <c r="H28" s="28" t="e">
        <f>SUM(B28:G28)</f>
        <v>#REF!</v>
      </c>
    </row>
    <row r="29" spans="1:8">
      <c r="A29" s="25"/>
      <c r="B29" s="29"/>
      <c r="C29" s="385"/>
      <c r="D29" s="29"/>
      <c r="H29" s="28"/>
    </row>
    <row r="31" spans="1:8">
      <c r="A31" s="6" t="s">
        <v>639</v>
      </c>
    </row>
    <row r="32" spans="1:8">
      <c r="A32" s="7" t="s">
        <v>423</v>
      </c>
    </row>
    <row r="33" spans="1:10">
      <c r="A33" s="8"/>
      <c r="B33" s="9" t="s">
        <v>619</v>
      </c>
      <c r="C33" s="10" t="s">
        <v>620</v>
      </c>
      <c r="D33" s="9" t="s">
        <v>621</v>
      </c>
      <c r="E33" s="10" t="s">
        <v>622</v>
      </c>
      <c r="F33" s="10" t="s">
        <v>623</v>
      </c>
      <c r="G33" s="10" t="s">
        <v>624</v>
      </c>
      <c r="H33" s="11" t="s">
        <v>625</v>
      </c>
    </row>
    <row r="34" spans="1:10">
      <c r="A34" s="12" t="s">
        <v>640</v>
      </c>
      <c r="B34" s="23"/>
      <c r="C34" s="402"/>
      <c r="D34" s="23"/>
      <c r="E34" s="23"/>
      <c r="F34" s="23"/>
      <c r="G34" s="31" t="e">
        <f>+SUM('Rev-Exp Plan'!U33:U40,'Rev-Exp Plan'!U43,'Rev-Exp Plan'!U45:U51)-SUM('Rev-Exp Plan'!T33:T40,'Rev-Exp Plan'!T43,'Rev-Exp Plan'!T45:T51)</f>
        <v>#REF!</v>
      </c>
      <c r="H34" s="32" t="e">
        <f>SUM(G34)</f>
        <v>#REF!</v>
      </c>
      <c r="I34" s="4" t="s">
        <v>641</v>
      </c>
    </row>
    <row r="35" spans="1:10">
      <c r="A35" s="16"/>
      <c r="G35" s="28"/>
      <c r="H35" s="29"/>
    </row>
    <row r="36" spans="1:10">
      <c r="A36" s="20"/>
      <c r="G36" s="29"/>
    </row>
    <row r="37" spans="1:10">
      <c r="A37" s="256" t="s">
        <v>137</v>
      </c>
    </row>
    <row r="38" spans="1:10">
      <c r="A38" s="33" t="s">
        <v>275</v>
      </c>
    </row>
    <row r="39" spans="1:10">
      <c r="A39" s="8"/>
      <c r="B39" s="9" t="s">
        <v>619</v>
      </c>
      <c r="C39" s="10" t="s">
        <v>620</v>
      </c>
      <c r="D39" s="9" t="s">
        <v>621</v>
      </c>
      <c r="E39" s="10" t="s">
        <v>622</v>
      </c>
      <c r="F39" s="10" t="s">
        <v>623</v>
      </c>
      <c r="G39" s="10" t="s">
        <v>624</v>
      </c>
      <c r="H39" s="11" t="s">
        <v>625</v>
      </c>
    </row>
    <row r="40" spans="1:10">
      <c r="A40" s="12"/>
      <c r="B40" s="22"/>
      <c r="C40" s="133"/>
      <c r="D40" s="22"/>
      <c r="E40" s="23"/>
      <c r="F40" s="31" t="e">
        <f>+'[30]Resource Alloc 09-10'!$F$40</f>
        <v>#REF!</v>
      </c>
      <c r="G40" s="23"/>
      <c r="H40" s="32" t="e">
        <f>SUM(F40:G40)</f>
        <v>#REF!</v>
      </c>
      <c r="J40" s="71" t="s">
        <v>254</v>
      </c>
    </row>
    <row r="41" spans="1:10">
      <c r="A41" s="20"/>
      <c r="B41" s="19"/>
      <c r="C41" s="129"/>
      <c r="D41" s="19"/>
      <c r="F41" s="28"/>
      <c r="H41" s="29"/>
    </row>
    <row r="42" spans="1:10">
      <c r="A42" s="20"/>
      <c r="B42" s="19"/>
      <c r="C42" s="129"/>
      <c r="D42" s="19"/>
    </row>
    <row r="43" spans="1:10">
      <c r="A43" s="6" t="s">
        <v>642</v>
      </c>
    </row>
    <row r="44" spans="1:10">
      <c r="A44" s="7" t="s">
        <v>424</v>
      </c>
      <c r="D44" s="7"/>
      <c r="J44" s="34"/>
    </row>
    <row r="45" spans="1:10">
      <c r="A45" s="8"/>
      <c r="B45" s="9" t="s">
        <v>619</v>
      </c>
      <c r="C45" s="10" t="s">
        <v>620</v>
      </c>
      <c r="D45" s="9" t="s">
        <v>621</v>
      </c>
      <c r="E45" s="10" t="s">
        <v>622</v>
      </c>
      <c r="F45" s="10" t="s">
        <v>623</v>
      </c>
      <c r="G45" s="10" t="s">
        <v>624</v>
      </c>
      <c r="H45" s="11" t="s">
        <v>625</v>
      </c>
    </row>
    <row r="46" spans="1:10">
      <c r="A46" s="18" t="s">
        <v>425</v>
      </c>
      <c r="B46" s="19">
        <v>8125.8637533124074</v>
      </c>
      <c r="C46" s="129">
        <v>4733.9875306333897</v>
      </c>
      <c r="D46" s="19">
        <v>9100.7242331298385</v>
      </c>
      <c r="E46" s="20"/>
      <c r="F46" s="20"/>
      <c r="G46" s="19"/>
      <c r="H46" s="35">
        <f>SUM(B46:G46)</f>
        <v>21960.575517075638</v>
      </c>
    </row>
    <row r="47" spans="1:10">
      <c r="A47" s="18" t="s">
        <v>644</v>
      </c>
      <c r="B47" s="36">
        <f>AVERAGE(B46,B11,B12)</f>
        <v>8372.2439552831584</v>
      </c>
      <c r="C47" s="398">
        <f>AVERAGE(C46,C11,C12)</f>
        <v>4898.0091768777975</v>
      </c>
      <c r="D47" s="36">
        <f>AVERAGE(D46,D11,D12)</f>
        <v>9345.1687790272827</v>
      </c>
      <c r="E47" s="20"/>
      <c r="F47" s="20"/>
      <c r="G47" s="20">
        <f>+G46/3</f>
        <v>0</v>
      </c>
      <c r="H47" s="35">
        <f>SUM(B47:G47)</f>
        <v>22615.421911188241</v>
      </c>
    </row>
    <row r="48" spans="1:10">
      <c r="A48" s="12" t="s">
        <v>645</v>
      </c>
      <c r="B48" s="37">
        <f>+B47-B14</f>
        <v>441.57328866034914</v>
      </c>
      <c r="C48" s="403">
        <f>+C47-C14</f>
        <v>159.9025102111309</v>
      </c>
      <c r="D48" s="37">
        <f>+D47-D14</f>
        <v>103.29985659950398</v>
      </c>
      <c r="E48" s="23"/>
      <c r="F48" s="23"/>
      <c r="G48" s="23">
        <f>+G47</f>
        <v>0</v>
      </c>
      <c r="H48" s="38">
        <f>SUM(B48:G48)</f>
        <v>704.77565547098402</v>
      </c>
      <c r="J48" s="39"/>
    </row>
    <row r="49" spans="1:10">
      <c r="A49" s="7" t="s">
        <v>241</v>
      </c>
    </row>
    <row r="50" spans="1:10">
      <c r="A50" s="7"/>
      <c r="H50" s="488" t="e">
        <f>+ROUND((4366*H48-F40)/(1+C117+C116)/H48,)</f>
        <v>#REF!</v>
      </c>
    </row>
    <row r="51" spans="1:10">
      <c r="A51" s="8" t="s">
        <v>646</v>
      </c>
      <c r="B51" s="40">
        <f>3789*B48</f>
        <v>1673121.1907340628</v>
      </c>
      <c r="C51" s="404">
        <f>3789*C48</f>
        <v>605870.61118997494</v>
      </c>
      <c r="D51" s="40">
        <f>3789*D48</f>
        <v>391403.15665552061</v>
      </c>
      <c r="E51" s="16"/>
      <c r="F51" s="16"/>
      <c r="G51" s="40">
        <f>3600*G48</f>
        <v>0</v>
      </c>
      <c r="H51" s="41">
        <f>SUM(B51:G51)</f>
        <v>2670394.9585795584</v>
      </c>
    </row>
    <row r="52" spans="1:10">
      <c r="A52" s="12"/>
      <c r="B52" s="31"/>
      <c r="C52" s="335"/>
      <c r="D52" s="31"/>
      <c r="E52" s="23"/>
      <c r="F52" s="23"/>
      <c r="G52" s="23"/>
      <c r="H52" s="489">
        <f>4366</f>
        <v>4366</v>
      </c>
      <c r="I52" s="4" t="s">
        <v>647</v>
      </c>
    </row>
    <row r="54" spans="1:10">
      <c r="A54" s="256" t="s">
        <v>138</v>
      </c>
      <c r="H54" s="42"/>
      <c r="J54" s="2">
        <f>3400*1.0592</f>
        <v>3601.2799999999997</v>
      </c>
    </row>
    <row r="55" spans="1:10">
      <c r="A55" s="43" t="s">
        <v>139</v>
      </c>
      <c r="J55" s="2">
        <f>3600*1.0453</f>
        <v>3763.0799999999995</v>
      </c>
    </row>
    <row r="56" spans="1:10">
      <c r="A56" s="8"/>
      <c r="B56" s="9" t="s">
        <v>619</v>
      </c>
      <c r="C56" s="10" t="s">
        <v>620</v>
      </c>
      <c r="D56" s="9" t="s">
        <v>621</v>
      </c>
      <c r="E56" s="10" t="s">
        <v>622</v>
      </c>
      <c r="F56" s="10" t="s">
        <v>623</v>
      </c>
      <c r="G56" s="10" t="s">
        <v>624</v>
      </c>
      <c r="H56" s="11" t="s">
        <v>625</v>
      </c>
      <c r="J56" s="2">
        <f>3763*(1+Assumptions!I19)</f>
        <v>3763</v>
      </c>
    </row>
    <row r="57" spans="1:10">
      <c r="A57" s="12" t="s">
        <v>646</v>
      </c>
      <c r="B57" s="23"/>
      <c r="C57" s="402"/>
      <c r="D57" s="23"/>
      <c r="E57" s="31" t="e">
        <f>C117*H51</f>
        <v>#REF!</v>
      </c>
      <c r="F57" s="31" t="e">
        <f>C116*H51</f>
        <v>#REF!</v>
      </c>
      <c r="G57" s="23"/>
      <c r="H57" s="32" t="e">
        <f>SUM(E57:G57)</f>
        <v>#REF!</v>
      </c>
      <c r="I57" s="4" t="s">
        <v>648</v>
      </c>
    </row>
    <row r="58" spans="1:10">
      <c r="E58" s="28"/>
      <c r="F58" s="28"/>
      <c r="H58" s="29"/>
    </row>
    <row r="60" spans="1:10">
      <c r="A60" s="6" t="s">
        <v>649</v>
      </c>
    </row>
    <row r="61" spans="1:10">
      <c r="A61" s="7" t="s">
        <v>426</v>
      </c>
    </row>
    <row r="62" spans="1:10">
      <c r="A62" s="8"/>
      <c r="B62" s="44" t="s">
        <v>619</v>
      </c>
      <c r="C62" s="45" t="s">
        <v>620</v>
      </c>
      <c r="D62" s="44" t="s">
        <v>621</v>
      </c>
      <c r="E62" s="45" t="s">
        <v>622</v>
      </c>
      <c r="F62" s="45" t="s">
        <v>623</v>
      </c>
      <c r="G62" s="45" t="s">
        <v>624</v>
      </c>
      <c r="H62" s="46" t="s">
        <v>625</v>
      </c>
    </row>
    <row r="63" spans="1:10">
      <c r="A63" s="47" t="s">
        <v>650</v>
      </c>
      <c r="B63" s="48" t="e">
        <f>+'[31]09-10 Allocation'!$E$12</f>
        <v>#REF!</v>
      </c>
      <c r="C63" s="405" t="e">
        <f>+'[31]09-10 Allocation'!$B$12</f>
        <v>#REF!</v>
      </c>
      <c r="D63" s="48" t="e">
        <f>+'[31]09-10 Allocation'!$D$12+'[31]09-10 Allocation'!$C$12</f>
        <v>#REF!</v>
      </c>
      <c r="E63" s="48" t="e">
        <f>+'[31]09-10 Allocation'!$F$12</f>
        <v>#REF!</v>
      </c>
      <c r="F63" s="48" t="e">
        <f>+'[31]09-10 Allocation'!$G$12</f>
        <v>#REF!</v>
      </c>
      <c r="G63" s="13" t="e">
        <f>+COLA!B96-SUM('Resource Alloc 09-10'!B63:F63)</f>
        <v>#REF!</v>
      </c>
      <c r="H63" s="49" t="e">
        <f>SUM(B63:G63)</f>
        <v>#REF!</v>
      </c>
      <c r="I63" s="4" t="s">
        <v>651</v>
      </c>
    </row>
    <row r="64" spans="1:10">
      <c r="A64" s="47" t="s">
        <v>476</v>
      </c>
      <c r="B64" s="48"/>
      <c r="C64" s="405"/>
      <c r="D64" s="48"/>
      <c r="E64" s="48"/>
      <c r="F64" s="48"/>
      <c r="G64" s="13">
        <v>0</v>
      </c>
      <c r="H64" s="49">
        <f>SUM(B64:G64)</f>
        <v>0</v>
      </c>
    </row>
    <row r="65" spans="1:9" s="415" customFormat="1">
      <c r="A65" s="47" t="s">
        <v>140</v>
      </c>
      <c r="B65" s="48" t="e">
        <f>-[32]Summary!$D$45</f>
        <v>#REF!</v>
      </c>
      <c r="C65" s="405"/>
      <c r="D65" s="48" t="e">
        <f>-[32]Summary!$D$44</f>
        <v>#REF!</v>
      </c>
      <c r="E65" s="48" t="e">
        <f>-[32]Summary!$D$46</f>
        <v>#REF!</v>
      </c>
      <c r="F65" s="48" t="e">
        <f>-[32]Summary!$D$47+'Sq Ft'!C76-'Sq Ft'!B76</f>
        <v>#REF!</v>
      </c>
      <c r="G65" s="13" t="e">
        <f>-SUM(B65:F65)</f>
        <v>#REF!</v>
      </c>
      <c r="H65" s="49" t="e">
        <f>SUM(B65:G65)</f>
        <v>#REF!</v>
      </c>
      <c r="I65" s="4"/>
    </row>
    <row r="66" spans="1:9">
      <c r="A66" s="50"/>
      <c r="B66" s="51" t="e">
        <f>SUM(B63:B65)</f>
        <v>#REF!</v>
      </c>
      <c r="C66" s="51" t="e">
        <f t="shared" ref="C66:H66" si="0">SUM(C63:C65)</f>
        <v>#REF!</v>
      </c>
      <c r="D66" s="51" t="e">
        <f t="shared" si="0"/>
        <v>#REF!</v>
      </c>
      <c r="E66" s="51" t="e">
        <f t="shared" si="0"/>
        <v>#REF!</v>
      </c>
      <c r="F66" s="51" t="e">
        <f t="shared" si="0"/>
        <v>#REF!</v>
      </c>
      <c r="G66" s="51" t="e">
        <f t="shared" si="0"/>
        <v>#REF!</v>
      </c>
      <c r="H66" s="416" t="e">
        <f t="shared" si="0"/>
        <v>#REF!</v>
      </c>
    </row>
    <row r="67" spans="1:9">
      <c r="A67" s="54"/>
    </row>
    <row r="68" spans="1:9">
      <c r="F68" s="294"/>
    </row>
    <row r="69" spans="1:9">
      <c r="A69" s="6" t="s">
        <v>653</v>
      </c>
    </row>
    <row r="70" spans="1:9">
      <c r="A70" s="7" t="s">
        <v>274</v>
      </c>
    </row>
    <row r="71" spans="1:9">
      <c r="A71" s="7" t="s">
        <v>654</v>
      </c>
    </row>
    <row r="72" spans="1:9">
      <c r="A72" s="2" t="s">
        <v>655</v>
      </c>
      <c r="B72" s="29" t="e">
        <f>+H9</f>
        <v>#REF!</v>
      </c>
      <c r="D72" s="71" t="s">
        <v>404</v>
      </c>
      <c r="E72" s="55">
        <f>+Revenues!F48</f>
        <v>22270.550000000003</v>
      </c>
      <c r="F72" s="2" t="s">
        <v>656</v>
      </c>
    </row>
    <row r="73" spans="1:9">
      <c r="A73" s="71" t="s">
        <v>525</v>
      </c>
      <c r="B73" s="28">
        <f>+'SB361'!G18</f>
        <v>0</v>
      </c>
      <c r="D73" s="71" t="s">
        <v>425</v>
      </c>
      <c r="E73" s="39">
        <f>+H46</f>
        <v>21960.575517075638</v>
      </c>
      <c r="F73" s="2" t="s">
        <v>657</v>
      </c>
    </row>
    <row r="74" spans="1:9">
      <c r="A74" s="2" t="s">
        <v>652</v>
      </c>
      <c r="B74" s="28">
        <f>+'SB361'!G19</f>
        <v>-3667509.2880840143</v>
      </c>
      <c r="D74" s="2" t="s">
        <v>658</v>
      </c>
      <c r="E74" s="39">
        <f>MAX(E73-E72,0)</f>
        <v>0</v>
      </c>
    </row>
    <row r="75" spans="1:9">
      <c r="A75" s="2" t="s">
        <v>659</v>
      </c>
      <c r="B75" s="28" t="e">
        <f>+'Rev-Exp Plan'!U25-SUM('Resource Alloc 09-10'!B72:B74)</f>
        <v>#REF!</v>
      </c>
      <c r="D75" s="54" t="s">
        <v>478</v>
      </c>
      <c r="E75" s="56" t="e">
        <f>IF(+'Rev-Exp Plan'!U55&lt;0,'Rev-Exp Plan'!U55,0)*0</f>
        <v>#REF!</v>
      </c>
      <c r="F75" s="181"/>
      <c r="I75" s="4" t="s">
        <v>641</v>
      </c>
    </row>
    <row r="76" spans="1:9">
      <c r="A76" s="2" t="s">
        <v>427</v>
      </c>
      <c r="B76" s="57" t="e">
        <f>SUM(B72:B75)</f>
        <v>#REF!</v>
      </c>
      <c r="D76" s="71" t="s">
        <v>344</v>
      </c>
      <c r="E76" s="55">
        <v>0</v>
      </c>
    </row>
    <row r="77" spans="1:9">
      <c r="A77" s="71" t="s">
        <v>141</v>
      </c>
      <c r="B77" s="29" t="e">
        <f>+B76-B72</f>
        <v>#REF!</v>
      </c>
    </row>
    <row r="78" spans="1:9">
      <c r="A78" s="71" t="s">
        <v>345</v>
      </c>
      <c r="B78" s="29" t="e">
        <f>+B77-E75-E76</f>
        <v>#REF!</v>
      </c>
      <c r="C78" s="406" t="e">
        <f>IF(E75=0,"  ","Allowing us to have a deficit budget and cover it from prior year fund balances if necessary")</f>
        <v>#REF!</v>
      </c>
    </row>
    <row r="79" spans="1:9">
      <c r="A79" s="2" t="s">
        <v>661</v>
      </c>
      <c r="C79" s="385"/>
    </row>
    <row r="80" spans="1:9">
      <c r="A80" s="2" t="s">
        <v>662</v>
      </c>
      <c r="B80" s="29" t="e">
        <f>+H28</f>
        <v>#REF!</v>
      </c>
    </row>
    <row r="81" spans="1:8">
      <c r="A81" s="2" t="s">
        <v>663</v>
      </c>
      <c r="B81" s="29" t="e">
        <f>+H34</f>
        <v>#REF!</v>
      </c>
    </row>
    <row r="82" spans="1:8">
      <c r="A82" s="2" t="s">
        <v>664</v>
      </c>
      <c r="B82" s="29" t="e">
        <f>+H40</f>
        <v>#REF!</v>
      </c>
    </row>
    <row r="83" spans="1:8">
      <c r="A83" s="2" t="s">
        <v>665</v>
      </c>
      <c r="B83" s="29">
        <f>+H51</f>
        <v>2670394.9585795584</v>
      </c>
    </row>
    <row r="84" spans="1:8">
      <c r="A84" s="2" t="s">
        <v>666</v>
      </c>
      <c r="B84" s="29" t="e">
        <f>+H57</f>
        <v>#REF!</v>
      </c>
    </row>
    <row r="85" spans="1:8">
      <c r="A85" s="2" t="s">
        <v>667</v>
      </c>
      <c r="B85" s="29" t="e">
        <f>+H66</f>
        <v>#REF!</v>
      </c>
    </row>
    <row r="86" spans="1:8">
      <c r="B86" s="57" t="e">
        <f>SUM(B80:B85)</f>
        <v>#REF!</v>
      </c>
    </row>
    <row r="87" spans="1:8">
      <c r="A87" s="2" t="s">
        <v>668</v>
      </c>
      <c r="B87" s="29" t="e">
        <f>+B78-B86</f>
        <v>#REF!</v>
      </c>
    </row>
    <row r="88" spans="1:8">
      <c r="B88" s="29"/>
    </row>
    <row r="89" spans="1:8">
      <c r="A89" s="8"/>
      <c r="B89" s="9" t="s">
        <v>619</v>
      </c>
      <c r="C89" s="10" t="s">
        <v>620</v>
      </c>
      <c r="D89" s="9" t="s">
        <v>621</v>
      </c>
      <c r="E89" s="10" t="s">
        <v>622</v>
      </c>
      <c r="F89" s="10" t="s">
        <v>623</v>
      </c>
      <c r="G89" s="10" t="s">
        <v>624</v>
      </c>
      <c r="H89" s="11" t="s">
        <v>625</v>
      </c>
    </row>
    <row r="90" spans="1:8">
      <c r="A90" s="248" t="s">
        <v>407</v>
      </c>
      <c r="B90" s="58" t="e">
        <f>+B9</f>
        <v>#REF!</v>
      </c>
      <c r="C90" s="407" t="e">
        <f>+C9</f>
        <v>#REF!</v>
      </c>
      <c r="D90" s="58" t="e">
        <f>+D9</f>
        <v>#REF!</v>
      </c>
      <c r="E90" s="58" t="e">
        <f>+E9</f>
        <v>#REF!</v>
      </c>
      <c r="F90" s="58" t="e">
        <f>+F9</f>
        <v>#REF!</v>
      </c>
      <c r="G90" s="59" t="s">
        <v>669</v>
      </c>
      <c r="H90" s="49" t="e">
        <f>SUM(B90:G90)</f>
        <v>#REF!</v>
      </c>
    </row>
    <row r="91" spans="1:8">
      <c r="A91" s="60" t="s">
        <v>670</v>
      </c>
      <c r="B91" s="26" t="e">
        <f>+B90/$H90</f>
        <v>#REF!</v>
      </c>
      <c r="C91" s="401" t="e">
        <f>+C90/$H90</f>
        <v>#REF!</v>
      </c>
      <c r="D91" s="26" t="e">
        <f>+D90/$H90</f>
        <v>#REF!</v>
      </c>
      <c r="E91" s="26" t="e">
        <f>+E90/$H90</f>
        <v>#REF!</v>
      </c>
      <c r="F91" s="26" t="e">
        <f>+F90/$H90</f>
        <v>#REF!</v>
      </c>
      <c r="G91" s="26"/>
      <c r="H91" s="61"/>
    </row>
    <row r="92" spans="1:8">
      <c r="A92" s="62" t="s">
        <v>671</v>
      </c>
      <c r="B92" s="31" t="e">
        <f>-B90*0.1</f>
        <v>#REF!</v>
      </c>
      <c r="C92" s="31" t="e">
        <f>-C90*0.1</f>
        <v>#REF!</v>
      </c>
      <c r="D92" s="31" t="e">
        <f>-D90*0.1</f>
        <v>#REF!</v>
      </c>
      <c r="E92" s="31" t="e">
        <f>-E90*0.1</f>
        <v>#REF!</v>
      </c>
      <c r="F92" s="31" t="e">
        <f>-F90*0.1</f>
        <v>#REF!</v>
      </c>
      <c r="G92" s="31"/>
      <c r="H92" s="32" t="e">
        <f>SUM(B92:G92)</f>
        <v>#REF!</v>
      </c>
    </row>
    <row r="93" spans="1:8">
      <c r="A93" s="25"/>
      <c r="B93" s="28"/>
      <c r="C93" s="365"/>
      <c r="D93" s="28"/>
      <c r="E93" s="28"/>
      <c r="F93" s="28"/>
      <c r="G93" s="28"/>
      <c r="H93" s="29"/>
    </row>
    <row r="95" spans="1:8">
      <c r="A95" s="2" t="s">
        <v>672</v>
      </c>
    </row>
    <row r="96" spans="1:8">
      <c r="A96" s="7" t="s">
        <v>340</v>
      </c>
    </row>
    <row r="97" spans="1:10">
      <c r="A97" s="8"/>
      <c r="B97" s="9" t="s">
        <v>619</v>
      </c>
      <c r="C97" s="10" t="s">
        <v>620</v>
      </c>
      <c r="D97" s="9" t="s">
        <v>621</v>
      </c>
      <c r="E97" s="10" t="s">
        <v>622</v>
      </c>
      <c r="F97" s="10" t="s">
        <v>623</v>
      </c>
      <c r="G97" s="10" t="s">
        <v>624</v>
      </c>
      <c r="H97" s="11" t="s">
        <v>625</v>
      </c>
    </row>
    <row r="98" spans="1:10">
      <c r="A98" s="248" t="s">
        <v>407</v>
      </c>
      <c r="B98" s="13" t="e">
        <f t="shared" ref="B98:G98" si="1">+B9</f>
        <v>#REF!</v>
      </c>
      <c r="C98" s="125" t="e">
        <f t="shared" si="1"/>
        <v>#REF!</v>
      </c>
      <c r="D98" s="13" t="e">
        <f>+D9</f>
        <v>#REF!</v>
      </c>
      <c r="E98" s="13" t="e">
        <f t="shared" si="1"/>
        <v>#REF!</v>
      </c>
      <c r="F98" s="13" t="e">
        <f t="shared" si="1"/>
        <v>#REF!</v>
      </c>
      <c r="G98" s="13" t="e">
        <f t="shared" si="1"/>
        <v>#REF!</v>
      </c>
      <c r="H98" s="14" t="e">
        <f t="shared" ref="H98:H105" si="2">SUM(B98:G98)</f>
        <v>#REF!</v>
      </c>
    </row>
    <row r="99" spans="1:10">
      <c r="A99" s="18" t="s">
        <v>662</v>
      </c>
      <c r="B99" s="58" t="e">
        <f t="shared" ref="B99:G99" si="3">+B28</f>
        <v>#REF!</v>
      </c>
      <c r="C99" s="407" t="e">
        <f t="shared" si="3"/>
        <v>#REF!</v>
      </c>
      <c r="D99" s="58" t="e">
        <f t="shared" si="3"/>
        <v>#REF!</v>
      </c>
      <c r="E99" s="58">
        <f t="shared" si="3"/>
        <v>0</v>
      </c>
      <c r="F99" s="58">
        <f t="shared" si="3"/>
        <v>0</v>
      </c>
      <c r="G99" s="58">
        <f t="shared" si="3"/>
        <v>0</v>
      </c>
      <c r="H99" s="49" t="e">
        <f t="shared" si="2"/>
        <v>#REF!</v>
      </c>
    </row>
    <row r="100" spans="1:10">
      <c r="A100" s="18" t="s">
        <v>673</v>
      </c>
      <c r="B100" s="13">
        <f t="shared" ref="B100:G100" si="4">+B34</f>
        <v>0</v>
      </c>
      <c r="C100" s="125">
        <f t="shared" si="4"/>
        <v>0</v>
      </c>
      <c r="D100" s="13">
        <f t="shared" si="4"/>
        <v>0</v>
      </c>
      <c r="E100" s="13">
        <f t="shared" si="4"/>
        <v>0</v>
      </c>
      <c r="F100" s="13">
        <f t="shared" si="4"/>
        <v>0</v>
      </c>
      <c r="G100" s="13" t="e">
        <f t="shared" si="4"/>
        <v>#REF!</v>
      </c>
      <c r="H100" s="49" t="e">
        <f t="shared" si="2"/>
        <v>#REF!</v>
      </c>
    </row>
    <row r="101" spans="1:10">
      <c r="A101" s="18" t="s">
        <v>664</v>
      </c>
      <c r="B101" s="13">
        <f t="shared" ref="B101:G101" si="5">+B40</f>
        <v>0</v>
      </c>
      <c r="C101" s="125">
        <f t="shared" si="5"/>
        <v>0</v>
      </c>
      <c r="D101" s="13">
        <f t="shared" si="5"/>
        <v>0</v>
      </c>
      <c r="E101" s="13">
        <f t="shared" si="5"/>
        <v>0</v>
      </c>
      <c r="F101" s="13" t="e">
        <f t="shared" si="5"/>
        <v>#REF!</v>
      </c>
      <c r="G101" s="13">
        <f t="shared" si="5"/>
        <v>0</v>
      </c>
      <c r="H101" s="49" t="e">
        <f t="shared" si="2"/>
        <v>#REF!</v>
      </c>
    </row>
    <row r="102" spans="1:10">
      <c r="A102" s="18" t="s">
        <v>665</v>
      </c>
      <c r="B102" s="58">
        <f t="shared" ref="B102:G102" si="6">+B51</f>
        <v>1673121.1907340628</v>
      </c>
      <c r="C102" s="407">
        <f t="shared" si="6"/>
        <v>605870.61118997494</v>
      </c>
      <c r="D102" s="58">
        <f t="shared" si="6"/>
        <v>391403.15665552061</v>
      </c>
      <c r="E102" s="58">
        <f t="shared" si="6"/>
        <v>0</v>
      </c>
      <c r="F102" s="58">
        <f t="shared" si="6"/>
        <v>0</v>
      </c>
      <c r="G102" s="58">
        <f t="shared" si="6"/>
        <v>0</v>
      </c>
      <c r="H102" s="49">
        <f t="shared" si="2"/>
        <v>2670394.9585795584</v>
      </c>
    </row>
    <row r="103" spans="1:10">
      <c r="A103" s="18" t="s">
        <v>666</v>
      </c>
      <c r="B103" s="13">
        <f t="shared" ref="B103:G103" si="7">+B57</f>
        <v>0</v>
      </c>
      <c r="C103" s="125">
        <f t="shared" si="7"/>
        <v>0</v>
      </c>
      <c r="D103" s="13">
        <f t="shared" si="7"/>
        <v>0</v>
      </c>
      <c r="E103" s="13" t="e">
        <f t="shared" si="7"/>
        <v>#REF!</v>
      </c>
      <c r="F103" s="13" t="e">
        <f t="shared" si="7"/>
        <v>#REF!</v>
      </c>
      <c r="G103" s="13">
        <f t="shared" si="7"/>
        <v>0</v>
      </c>
      <c r="H103" s="49" t="e">
        <f t="shared" si="2"/>
        <v>#REF!</v>
      </c>
      <c r="J103" s="29" t="e">
        <f>SUM(H101:H103)</f>
        <v>#REF!</v>
      </c>
    </row>
    <row r="104" spans="1:10">
      <c r="A104" s="18" t="s">
        <v>667</v>
      </c>
      <c r="B104" s="13" t="e">
        <f t="shared" ref="B104:G104" si="8">+B66</f>
        <v>#REF!</v>
      </c>
      <c r="C104" s="125" t="e">
        <f t="shared" si="8"/>
        <v>#REF!</v>
      </c>
      <c r="D104" s="13" t="e">
        <f t="shared" si="8"/>
        <v>#REF!</v>
      </c>
      <c r="E104" s="13" t="e">
        <f t="shared" si="8"/>
        <v>#REF!</v>
      </c>
      <c r="F104" s="13" t="e">
        <f t="shared" si="8"/>
        <v>#REF!</v>
      </c>
      <c r="G104" s="13" t="e">
        <f t="shared" si="8"/>
        <v>#REF!</v>
      </c>
      <c r="H104" s="49" t="e">
        <f t="shared" si="2"/>
        <v>#REF!</v>
      </c>
      <c r="J104" s="29" t="e">
        <f>+J103+'Resource Alloc 10-11'!J103+'Resource Alloc 11-12'!J104</f>
        <v>#REF!</v>
      </c>
    </row>
    <row r="105" spans="1:10">
      <c r="A105" s="18" t="s">
        <v>674</v>
      </c>
      <c r="B105" s="63" t="e">
        <f t="shared" ref="B105:G105" si="9">+B92</f>
        <v>#REF!</v>
      </c>
      <c r="C105" s="408" t="e">
        <f t="shared" si="9"/>
        <v>#REF!</v>
      </c>
      <c r="D105" s="63" t="e">
        <f t="shared" si="9"/>
        <v>#REF!</v>
      </c>
      <c r="E105" s="63" t="e">
        <f t="shared" si="9"/>
        <v>#REF!</v>
      </c>
      <c r="F105" s="63" t="e">
        <f t="shared" si="9"/>
        <v>#REF!</v>
      </c>
      <c r="G105" s="63">
        <f t="shared" si="9"/>
        <v>0</v>
      </c>
      <c r="H105" s="32" t="e">
        <f t="shared" si="2"/>
        <v>#REF!</v>
      </c>
    </row>
    <row r="106" spans="1:10">
      <c r="A106" s="18" t="s">
        <v>675</v>
      </c>
      <c r="B106" s="63" t="e">
        <f t="shared" ref="B106:H106" si="10">SUM(B99:B105)</f>
        <v>#REF!</v>
      </c>
      <c r="C106" s="408" t="e">
        <f t="shared" si="10"/>
        <v>#REF!</v>
      </c>
      <c r="D106" s="63" t="e">
        <f t="shared" si="10"/>
        <v>#REF!</v>
      </c>
      <c r="E106" s="63" t="e">
        <f t="shared" si="10"/>
        <v>#REF!</v>
      </c>
      <c r="F106" s="63" t="e">
        <f t="shared" si="10"/>
        <v>#REF!</v>
      </c>
      <c r="G106" s="63" t="e">
        <f t="shared" si="10"/>
        <v>#REF!</v>
      </c>
      <c r="H106" s="32" t="e">
        <f t="shared" si="10"/>
        <v>#REF!</v>
      </c>
    </row>
    <row r="107" spans="1:10">
      <c r="A107" s="8"/>
      <c r="B107" s="9" t="s">
        <v>619</v>
      </c>
      <c r="C107" s="10" t="s">
        <v>620</v>
      </c>
      <c r="D107" s="9" t="s">
        <v>621</v>
      </c>
      <c r="E107" s="10" t="s">
        <v>622</v>
      </c>
      <c r="F107" s="10" t="s">
        <v>623</v>
      </c>
      <c r="G107" s="10" t="s">
        <v>624</v>
      </c>
      <c r="H107" s="11" t="s">
        <v>625</v>
      </c>
    </row>
    <row r="108" spans="1:10">
      <c r="A108" s="254" t="s">
        <v>336</v>
      </c>
      <c r="B108" s="64" t="e">
        <f>+B106+B98</f>
        <v>#REF!</v>
      </c>
      <c r="C108" s="409" t="e">
        <f>+C106+C98</f>
        <v>#REF!</v>
      </c>
      <c r="D108" s="64" t="e">
        <f>+D106+D98</f>
        <v>#REF!</v>
      </c>
      <c r="E108" s="64" t="e">
        <f>+E106+E98</f>
        <v>#REF!</v>
      </c>
      <c r="F108" s="64" t="e">
        <f>+F106+F98</f>
        <v>#REF!</v>
      </c>
      <c r="G108" s="64" t="e">
        <f>+G106+G98-0.5</f>
        <v>#REF!</v>
      </c>
      <c r="H108" s="53" t="e">
        <f>+H106+H98</f>
        <v>#REF!</v>
      </c>
    </row>
    <row r="109" spans="1:10">
      <c r="A109" s="321" t="s">
        <v>252</v>
      </c>
      <c r="B109" s="69" t="e">
        <f>+B106/B98</f>
        <v>#REF!</v>
      </c>
      <c r="C109" s="410" t="e">
        <f t="shared" ref="C109:H109" si="11">+C106/C98</f>
        <v>#REF!</v>
      </c>
      <c r="D109" s="69" t="e">
        <f t="shared" si="11"/>
        <v>#REF!</v>
      </c>
      <c r="E109" s="69" t="e">
        <f t="shared" si="11"/>
        <v>#REF!</v>
      </c>
      <c r="F109" s="69" t="e">
        <f t="shared" si="11"/>
        <v>#REF!</v>
      </c>
      <c r="G109" s="69" t="e">
        <f t="shared" si="11"/>
        <v>#REF!</v>
      </c>
      <c r="H109" s="69" t="e">
        <f t="shared" si="11"/>
        <v>#REF!</v>
      </c>
    </row>
    <row r="110" spans="1:10">
      <c r="A110" s="314"/>
      <c r="B110" s="19"/>
      <c r="C110" s="129"/>
      <c r="D110" s="19"/>
      <c r="E110" s="19"/>
      <c r="F110" s="19"/>
      <c r="G110" s="19"/>
      <c r="H110" s="19"/>
    </row>
    <row r="111" spans="1:10">
      <c r="A111" s="20"/>
      <c r="B111" s="13"/>
      <c r="C111" s="125"/>
      <c r="D111" s="13"/>
      <c r="E111" s="13"/>
      <c r="F111" s="13"/>
      <c r="G111" s="13"/>
      <c r="H111" s="13"/>
    </row>
    <row r="112" spans="1:10">
      <c r="B112" s="29"/>
      <c r="C112" s="385"/>
      <c r="D112" s="29"/>
      <c r="E112" s="29"/>
      <c r="F112" s="29"/>
      <c r="G112" s="424">
        <f>293.41*0.7</f>
        <v>205.387</v>
      </c>
      <c r="H112" s="424">
        <f>293.41*0.6</f>
        <v>176.04600000000002</v>
      </c>
    </row>
    <row r="113" spans="1:9">
      <c r="F113" s="20"/>
      <c r="G113" s="58"/>
      <c r="H113" s="29"/>
    </row>
    <row r="114" spans="1:9">
      <c r="A114" s="66" t="s">
        <v>677</v>
      </c>
      <c r="C114" s="342">
        <f>+'Sq Ft'!S109</f>
        <v>1420902.17</v>
      </c>
      <c r="F114" s="20"/>
      <c r="G114" s="58"/>
      <c r="I114" s="4" t="s">
        <v>678</v>
      </c>
    </row>
    <row r="115" spans="1:9">
      <c r="A115" s="2" t="s">
        <v>679</v>
      </c>
      <c r="C115" s="411" t="e">
        <f>+'Resource Alloc 08-09'!C115*(1+Assumptions!I19)</f>
        <v>#REF!</v>
      </c>
      <c r="F115" s="20"/>
      <c r="G115" s="58"/>
    </row>
    <row r="116" spans="1:9">
      <c r="A116" s="2" t="s">
        <v>680</v>
      </c>
      <c r="C116" s="410" t="e">
        <f>+F9/SUM($B9:$D9)/2</f>
        <v>#REF!</v>
      </c>
      <c r="H116" s="29"/>
    </row>
    <row r="117" spans="1:9">
      <c r="A117" s="2" t="s">
        <v>681</v>
      </c>
      <c r="C117" s="410" t="e">
        <f>+E9/SUM($B9:$D9)</f>
        <v>#REF!</v>
      </c>
    </row>
    <row r="119" spans="1:9">
      <c r="A119" s="2" t="s">
        <v>682</v>
      </c>
    </row>
    <row r="120" spans="1:9">
      <c r="A120" s="2" t="s">
        <v>506</v>
      </c>
    </row>
    <row r="121" spans="1:9">
      <c r="A121" s="2" t="s">
        <v>507</v>
      </c>
    </row>
    <row r="122" spans="1:9">
      <c r="A122" s="2" t="s">
        <v>683</v>
      </c>
    </row>
    <row r="123" spans="1:9">
      <c r="A123" s="2" t="s">
        <v>517</v>
      </c>
    </row>
    <row r="124" spans="1:9">
      <c r="A124" s="2" t="s">
        <v>518</v>
      </c>
    </row>
  </sheetData>
  <phoneticPr fontId="12" type="noConversion"/>
  <pageMargins left="0.75" right="0.75" top="1" bottom="1" header="0.5" footer="0.5"/>
  <headerFooter alignWithMargins="0">
    <oddHeader>&amp;CAdopted Budget 09/10
8/10/09</oddHeader>
  </headerFooter>
  <rowBreaks count="3" manualBreakCount="3">
    <brk id="36" max="8" man="1"/>
    <brk id="68" max="8" man="1"/>
    <brk id="94" max="16383" man="1"/>
  </rowBreaks>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124"/>
  <sheetViews>
    <sheetView workbookViewId="0"/>
  </sheetViews>
  <sheetFormatPr defaultColWidth="9.28515625" defaultRowHeight="12.75"/>
  <cols>
    <col min="1" max="1" width="19.42578125" style="2" customWidth="1"/>
    <col min="2" max="2" width="14.42578125" style="2" customWidth="1"/>
    <col min="3"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9">
      <c r="A1" s="1" t="s">
        <v>401</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12" t="s">
        <v>508</v>
      </c>
      <c r="B9" s="13" t="e">
        <f>+'Resource Alloc 07-08'!B108+'Rev-Exp Plan (2)'!S44</f>
        <v>#REF!</v>
      </c>
      <c r="C9" s="13" t="e">
        <f>+'Resource Alloc 07-08'!C108</f>
        <v>#REF!</v>
      </c>
      <c r="D9" s="13" t="e">
        <f>+'Resource Alloc 07-08'!D108</f>
        <v>#REF!</v>
      </c>
      <c r="E9" s="13" t="e">
        <f>+'Resource Alloc 07-08'!E108</f>
        <v>#REF!</v>
      </c>
      <c r="F9" s="13" t="e">
        <f>+'Resource Alloc 07-08'!F108</f>
        <v>#REF!</v>
      </c>
      <c r="G9" s="13" t="e">
        <f>+'Resource Alloc 07-08'!G108-'Rev-Exp Plan (2)'!S44</f>
        <v>#REF!</v>
      </c>
      <c r="H9" s="14" t="e">
        <f>SUM(B9:G9)</f>
        <v>#REF!</v>
      </c>
      <c r="I9" s="4" t="s">
        <v>626</v>
      </c>
    </row>
    <row r="10" spans="1:9">
      <c r="B10" s="69" t="e">
        <f>+B9/SUM($B9:$D9)</f>
        <v>#REF!</v>
      </c>
      <c r="C10" s="69" t="e">
        <f>+C9/SUM($B9:$D9)</f>
        <v>#REF!</v>
      </c>
      <c r="D10" s="69" t="e">
        <f>+D9/SUM($B9:$D9)</f>
        <v>#REF!</v>
      </c>
    </row>
    <row r="11" spans="1:9">
      <c r="A11" s="8" t="s">
        <v>502</v>
      </c>
      <c r="B11" s="15">
        <v>7329.2953175197599</v>
      </c>
      <c r="C11" s="15">
        <v>4451.55</v>
      </c>
      <c r="D11" s="15">
        <v>9058.1648179110125</v>
      </c>
      <c r="E11" s="16"/>
      <c r="F11" s="16"/>
      <c r="G11" s="16"/>
      <c r="H11" s="17">
        <f>SUM(B11:G11)</f>
        <v>20839.010135430774</v>
      </c>
    </row>
    <row r="12" spans="1:9">
      <c r="A12" s="18" t="s">
        <v>643</v>
      </c>
      <c r="B12" s="19">
        <v>6801.1438873313609</v>
      </c>
      <c r="C12" s="19">
        <v>4254.28</v>
      </c>
      <c r="D12" s="19">
        <v>8790.8246633313338</v>
      </c>
      <c r="E12" s="20"/>
      <c r="F12" s="20"/>
      <c r="G12" s="20"/>
      <c r="H12" s="21">
        <f>SUM(B12:G12)</f>
        <v>19846.248550662694</v>
      </c>
    </row>
    <row r="13" spans="1:9">
      <c r="A13" s="18" t="s">
        <v>627</v>
      </c>
      <c r="B13" s="19">
        <v>6886.6056190273921</v>
      </c>
      <c r="C13" s="19">
        <v>4193.4399999999996</v>
      </c>
      <c r="D13" s="19">
        <v>8669.9701501171239</v>
      </c>
      <c r="E13" s="20"/>
      <c r="F13" s="20"/>
      <c r="G13" s="20"/>
      <c r="H13" s="21">
        <f>SUM(B13:G13)</f>
        <v>19750.015769144513</v>
      </c>
    </row>
    <row r="14" spans="1:9">
      <c r="A14" s="12" t="s">
        <v>629</v>
      </c>
      <c r="B14" s="22">
        <f>AVERAGE(B11:B13)</f>
        <v>7005.6816079595046</v>
      </c>
      <c r="C14" s="22">
        <f>AVERAGE(C11:C13)</f>
        <v>4299.7566666666671</v>
      </c>
      <c r="D14" s="22">
        <f>AVERAGE(D11:D13)</f>
        <v>8839.6532104531561</v>
      </c>
      <c r="E14" s="23"/>
      <c r="F14" s="23"/>
      <c r="G14" s="23"/>
      <c r="H14" s="24">
        <f>SUM(B14:D14)</f>
        <v>20145.091485079327</v>
      </c>
      <c r="I14" s="4" t="s">
        <v>630</v>
      </c>
    </row>
    <row r="15" spans="1:9">
      <c r="A15" s="25" t="s">
        <v>631</v>
      </c>
      <c r="B15" s="65">
        <f>+B14/$H14</f>
        <v>0.3477612207990386</v>
      </c>
      <c r="C15" s="65">
        <f>+C14/$H14</f>
        <v>0.21343942120348905</v>
      </c>
      <c r="D15" s="65">
        <f>+D14/$H14</f>
        <v>0.43879935799747238</v>
      </c>
      <c r="E15" s="20"/>
      <c r="F15" s="20"/>
      <c r="G15" s="20"/>
      <c r="H15" s="19"/>
    </row>
    <row r="16" spans="1:9">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415</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402</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+SUM('Rev-Exp Plan'!T33:T40,'Rev-Exp Plan'!T43,'Rev-Exp Plan'!T45:T51)-SUM('Rev-Exp Plan'!S33:S40,'Rev-Exp Plan'!S43,'Rev-Exp Plan'!S45:S51)</f>
        <v>#REF!</v>
      </c>
      <c r="H34" s="32" t="e">
        <f>SUM(G34)</f>
        <v>#REF!</v>
      </c>
      <c r="I34" s="4" t="s">
        <v>641</v>
      </c>
    </row>
    <row r="35" spans="1:10">
      <c r="A35" s="16"/>
      <c r="G35" s="28"/>
      <c r="H35" s="29"/>
    </row>
    <row r="36" spans="1:10">
      <c r="A36" s="20"/>
      <c r="G36" s="29"/>
    </row>
    <row r="37" spans="1:10">
      <c r="A37" s="256" t="s">
        <v>257</v>
      </c>
    </row>
    <row r="38" spans="1:10">
      <c r="A38" s="33" t="s">
        <v>403</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Ft'!Q109-'[33]Resource Alloc 07-08'!$C$114)*C115</f>
        <v>#REF!</v>
      </c>
      <c r="G40" s="23"/>
      <c r="H40" s="32" t="e">
        <f>SUM(F40:G40)</f>
        <v>#REF!</v>
      </c>
      <c r="J40" s="71" t="s">
        <v>258</v>
      </c>
    </row>
    <row r="41" spans="1:10">
      <c r="A41" s="20"/>
      <c r="B41" s="19"/>
      <c r="C41" s="19"/>
      <c r="D41" s="19"/>
      <c r="F41" s="28"/>
      <c r="H41" s="29"/>
    </row>
    <row r="42" spans="1:10">
      <c r="A42" s="20"/>
      <c r="B42" s="19"/>
      <c r="C42" s="19"/>
      <c r="D42" s="19"/>
    </row>
    <row r="43" spans="1:10">
      <c r="A43" s="6" t="s">
        <v>642</v>
      </c>
    </row>
    <row r="44" spans="1:10">
      <c r="A44" s="7" t="s">
        <v>501</v>
      </c>
      <c r="D44" s="7"/>
      <c r="J44" s="34"/>
    </row>
    <row r="45" spans="1:10">
      <c r="A45" s="8"/>
      <c r="B45" s="9" t="s">
        <v>619</v>
      </c>
      <c r="C45" s="9" t="s">
        <v>620</v>
      </c>
      <c r="D45" s="9" t="s">
        <v>621</v>
      </c>
      <c r="E45" s="10" t="s">
        <v>622</v>
      </c>
      <c r="F45" s="10" t="s">
        <v>623</v>
      </c>
      <c r="G45" s="10" t="s">
        <v>624</v>
      </c>
      <c r="H45" s="11" t="s">
        <v>625</v>
      </c>
    </row>
    <row r="46" spans="1:10">
      <c r="A46" s="18" t="s">
        <v>404</v>
      </c>
      <c r="B46" s="19">
        <v>7978.8340915994586</v>
      </c>
      <c r="C46" s="19">
        <v>4623.7605507868393</v>
      </c>
      <c r="D46" s="19">
        <v>9148.1756679360642</v>
      </c>
      <c r="E46" s="20"/>
      <c r="F46" s="20"/>
      <c r="G46" s="19"/>
      <c r="H46" s="35">
        <f>SUM(B46:G46)</f>
        <v>21750.770310322361</v>
      </c>
    </row>
    <row r="47" spans="1:10">
      <c r="A47" s="18" t="s">
        <v>644</v>
      </c>
      <c r="B47" s="36">
        <f>AVERAGE(B46,B11,B12)</f>
        <v>7369.7577654835259</v>
      </c>
      <c r="C47" s="36">
        <f>AVERAGE(C46,C11,C12)</f>
        <v>4443.1968502622794</v>
      </c>
      <c r="D47" s="36">
        <f>AVERAGE(D46,D11,D12)</f>
        <v>8999.0550497261356</v>
      </c>
      <c r="E47" s="20"/>
      <c r="F47" s="20"/>
      <c r="G47" s="20">
        <f>+G46/3</f>
        <v>0</v>
      </c>
      <c r="H47" s="35">
        <f>SUM(B47:G47)</f>
        <v>20812.009665471942</v>
      </c>
    </row>
    <row r="48" spans="1:10">
      <c r="A48" s="12" t="s">
        <v>645</v>
      </c>
      <c r="B48" s="37">
        <f>+B47-B14</f>
        <v>364.07615752402126</v>
      </c>
      <c r="C48" s="37">
        <f>+C47-C14</f>
        <v>143.44018359561233</v>
      </c>
      <c r="D48" s="37">
        <f>+D47-D14</f>
        <v>159.40183927297949</v>
      </c>
      <c r="E48" s="23"/>
      <c r="F48" s="23"/>
      <c r="G48" s="23">
        <f>+G47</f>
        <v>0</v>
      </c>
      <c r="H48" s="38">
        <f>SUM(B48:G48)</f>
        <v>666.91818039261307</v>
      </c>
      <c r="J48" s="39"/>
    </row>
    <row r="49" spans="1:10">
      <c r="A49" s="7" t="s">
        <v>325</v>
      </c>
    </row>
    <row r="50" spans="1:10">
      <c r="A50" s="7"/>
      <c r="H50" s="28"/>
    </row>
    <row r="51" spans="1:10">
      <c r="A51" s="8" t="s">
        <v>646</v>
      </c>
      <c r="B51" s="40">
        <f>3763*B48</f>
        <v>1370018.580762892</v>
      </c>
      <c r="C51" s="40">
        <f>3763*C48</f>
        <v>539765.4108702892</v>
      </c>
      <c r="D51" s="40">
        <f>3763*D48</f>
        <v>599829.12118422182</v>
      </c>
      <c r="E51" s="16"/>
      <c r="F51" s="16"/>
      <c r="G51" s="40">
        <f>3600*G48</f>
        <v>0</v>
      </c>
      <c r="H51" s="41">
        <f>SUM(B51:G51)</f>
        <v>2509613.1128174029</v>
      </c>
    </row>
    <row r="52" spans="1:10">
      <c r="A52" s="12"/>
      <c r="B52" s="31"/>
      <c r="C52" s="31"/>
      <c r="D52" s="31"/>
      <c r="E52" s="23"/>
      <c r="F52" s="23"/>
      <c r="G52" s="23"/>
      <c r="H52" s="32">
        <f>3600*1.0453</f>
        <v>3763.0799999999995</v>
      </c>
      <c r="I52" s="4" t="s">
        <v>647</v>
      </c>
    </row>
    <row r="54" spans="1:10">
      <c r="A54" s="6" t="s">
        <v>516</v>
      </c>
      <c r="H54" s="42"/>
      <c r="J54" s="2">
        <f>3400*1.0592</f>
        <v>3601.2799999999997</v>
      </c>
    </row>
    <row r="55" spans="1:10">
      <c r="A55" s="43" t="s">
        <v>399</v>
      </c>
      <c r="J55" s="2">
        <f>3600*1.0453</f>
        <v>3763.0799999999995</v>
      </c>
    </row>
    <row r="56" spans="1:10">
      <c r="A56" s="8"/>
      <c r="B56" s="9" t="s">
        <v>619</v>
      </c>
      <c r="C56" s="9" t="s">
        <v>620</v>
      </c>
      <c r="D56" s="9" t="s">
        <v>621</v>
      </c>
      <c r="E56" s="10" t="s">
        <v>622</v>
      </c>
      <c r="F56" s="10" t="s">
        <v>623</v>
      </c>
      <c r="G56" s="10" t="s">
        <v>624</v>
      </c>
      <c r="H56" s="11" t="s">
        <v>625</v>
      </c>
    </row>
    <row r="57" spans="1:10">
      <c r="A57" s="12" t="s">
        <v>646</v>
      </c>
      <c r="B57" s="23"/>
      <c r="C57" s="23"/>
      <c r="D57" s="23"/>
      <c r="E57" s="31" t="e">
        <f>C117*H51</f>
        <v>#REF!</v>
      </c>
      <c r="F57" s="31" t="e">
        <f>C116*H51</f>
        <v>#REF!</v>
      </c>
      <c r="G57" s="23"/>
      <c r="H57" s="32" t="e">
        <f>SUM(E57:G57)</f>
        <v>#REF!</v>
      </c>
      <c r="I57" s="4" t="s">
        <v>648</v>
      </c>
    </row>
    <row r="58" spans="1:10">
      <c r="E58" s="28"/>
      <c r="F58" s="28"/>
      <c r="H58" s="29"/>
    </row>
    <row r="60" spans="1:10">
      <c r="A60" s="6" t="s">
        <v>649</v>
      </c>
    </row>
    <row r="61" spans="1:10">
      <c r="A61" s="7" t="s">
        <v>408</v>
      </c>
    </row>
    <row r="62" spans="1:10">
      <c r="A62" s="8"/>
      <c r="B62" s="44" t="s">
        <v>619</v>
      </c>
      <c r="C62" s="44" t="s">
        <v>620</v>
      </c>
      <c r="D62" s="44" t="s">
        <v>621</v>
      </c>
      <c r="E62" s="45" t="s">
        <v>622</v>
      </c>
      <c r="F62" s="45" t="s">
        <v>623</v>
      </c>
      <c r="G62" s="45" t="s">
        <v>624</v>
      </c>
      <c r="H62" s="46" t="s">
        <v>625</v>
      </c>
    </row>
    <row r="63" spans="1:10">
      <c r="A63" s="47" t="s">
        <v>650</v>
      </c>
      <c r="B63" s="48" t="e">
        <f>+'[31]08-09 Allocation'!$E$8</f>
        <v>#REF!</v>
      </c>
      <c r="C63" s="48" t="e">
        <f>+'[31]08-09 Allocation'!$B$8</f>
        <v>#REF!</v>
      </c>
      <c r="D63" s="48" t="e">
        <f>+'[31]08-09 Allocation'!$C$8+'[31]08-09 Allocation'!$D$8</f>
        <v>#REF!</v>
      </c>
      <c r="E63" s="48" t="e">
        <f>+'[31]08-09 Allocation'!$F$8</f>
        <v>#REF!</v>
      </c>
      <c r="F63" s="48" t="e">
        <f>+'[31]08-09 Allocation'!$G$8</f>
        <v>#REF!</v>
      </c>
      <c r="G63" s="13" t="e">
        <f>+'[31]08-09 Allocation'!$H$8</f>
        <v>#REF!</v>
      </c>
      <c r="H63" s="49" t="e">
        <f>SUM(B63:G63)</f>
        <v>#REF!</v>
      </c>
      <c r="I63" s="4" t="s">
        <v>651</v>
      </c>
    </row>
    <row r="64" spans="1:10">
      <c r="A64" s="47" t="s">
        <v>476</v>
      </c>
      <c r="B64" s="484" t="e">
        <f>+'[31]08-09 Allocation'!$E$13-B63</f>
        <v>#REF!</v>
      </c>
      <c r="C64" s="484" t="e">
        <f>+'[31]08-09 Allocation'!$B$13-C63</f>
        <v>#REF!</v>
      </c>
      <c r="D64" s="484" t="e">
        <f>+'[31]08-09 Allocation'!$C$13+'[31]08-09 Allocation'!$D$13-D63</f>
        <v>#REF!</v>
      </c>
      <c r="E64" s="484" t="e">
        <f>+'[31]08-09 Allocation'!$F$13-E63</f>
        <v>#REF!</v>
      </c>
      <c r="F64" s="484" t="e">
        <f>+'[31]08-09 Allocation'!$G$13-F63</f>
        <v>#REF!</v>
      </c>
      <c r="G64" s="485" t="e">
        <f>+'[30]Rev-Exp Plan'!T38-'[30]Rev-Exp Plan'!S38-SUM(B64:F64,B63:G63)</f>
        <v>#REF!</v>
      </c>
      <c r="H64" s="49" t="e">
        <f>SUM(B64:G64)</f>
        <v>#REF!</v>
      </c>
    </row>
    <row r="65" spans="1:9">
      <c r="A65" s="47" t="s">
        <v>207</v>
      </c>
      <c r="B65" s="48"/>
      <c r="C65" s="48"/>
      <c r="D65" s="48"/>
      <c r="E65" s="48">
        <v>79836</v>
      </c>
      <c r="F65" s="13">
        <f>+'Sq Ft'!B76</f>
        <v>383242</v>
      </c>
      <c r="G65" s="13">
        <v>0</v>
      </c>
      <c r="H65" s="49">
        <f>SUM(B65:G65)</f>
        <v>463078</v>
      </c>
    </row>
    <row r="66" spans="1:9">
      <c r="A66" s="50"/>
      <c r="B66" s="51" t="e">
        <f>SUM(B63:B64)</f>
        <v>#REF!</v>
      </c>
      <c r="C66" s="51" t="e">
        <f>SUM(C63:C64)</f>
        <v>#REF!</v>
      </c>
      <c r="D66" s="51" t="e">
        <f>SUM(D63:D64)</f>
        <v>#REF!</v>
      </c>
      <c r="E66" s="51" t="e">
        <f>SUM(E63:E65)</f>
        <v>#REF!</v>
      </c>
      <c r="F66" s="51" t="e">
        <f>SUM(F63:F65)</f>
        <v>#REF!</v>
      </c>
      <c r="G66" s="51" t="e">
        <f>SUM(G63:G65)</f>
        <v>#REF!</v>
      </c>
      <c r="H66" s="51" t="e">
        <f>SUM(H63:H65)</f>
        <v>#REF!</v>
      </c>
    </row>
    <row r="67" spans="1:9">
      <c r="A67" s="54"/>
      <c r="B67" s="71" t="s">
        <v>208</v>
      </c>
    </row>
    <row r="68" spans="1:9">
      <c r="F68" s="294"/>
      <c r="H68" s="294"/>
    </row>
    <row r="69" spans="1:9">
      <c r="A69" s="6" t="s">
        <v>653</v>
      </c>
    </row>
    <row r="70" spans="1:9">
      <c r="A70" s="7" t="s">
        <v>477</v>
      </c>
    </row>
    <row r="71" spans="1:9">
      <c r="A71" s="7" t="s">
        <v>654</v>
      </c>
    </row>
    <row r="72" spans="1:9">
      <c r="A72" s="2" t="s">
        <v>655</v>
      </c>
      <c r="B72" s="29" t="e">
        <f>+H9</f>
        <v>#REF!</v>
      </c>
      <c r="D72" s="2" t="s">
        <v>502</v>
      </c>
      <c r="E72" s="55">
        <v>20839.01013543077</v>
      </c>
      <c r="F72" s="2" t="s">
        <v>656</v>
      </c>
    </row>
    <row r="73" spans="1:9">
      <c r="A73" s="71" t="s">
        <v>525</v>
      </c>
      <c r="B73" s="28">
        <v>633796.55784576177</v>
      </c>
      <c r="D73" s="2" t="s">
        <v>404</v>
      </c>
      <c r="E73" s="39">
        <f>+H46</f>
        <v>21750.770310322361</v>
      </c>
      <c r="F73" s="2" t="s">
        <v>657</v>
      </c>
    </row>
    <row r="74" spans="1:9">
      <c r="A74" s="71" t="s">
        <v>329</v>
      </c>
      <c r="B74" s="28">
        <v>13684300.165527131</v>
      </c>
      <c r="D74" s="2" t="s">
        <v>658</v>
      </c>
      <c r="E74" s="39">
        <f>MAX(E73-E72,0)</f>
        <v>911.7601748915913</v>
      </c>
    </row>
    <row r="75" spans="1:9">
      <c r="A75" s="2" t="s">
        <v>659</v>
      </c>
      <c r="B75" s="28">
        <v>-7794531.7679054588</v>
      </c>
      <c r="D75" s="54" t="s">
        <v>478</v>
      </c>
      <c r="E75" s="56" t="e">
        <f>IF(+'Rev-Exp Plan'!T55&lt;0,'Rev-Exp Plan'!T55,0)*0</f>
        <v>#REF!</v>
      </c>
      <c r="F75" s="181"/>
      <c r="I75" s="4" t="s">
        <v>641</v>
      </c>
    </row>
    <row r="76" spans="1:9">
      <c r="A76" s="2" t="s">
        <v>405</v>
      </c>
      <c r="B76" s="57" t="e">
        <f>SUM(B72:B75)</f>
        <v>#REF!</v>
      </c>
      <c r="D76" s="71" t="s">
        <v>344</v>
      </c>
      <c r="E76" s="55" t="e">
        <f>IF('Rev-Exp Plan'!T55&gt;0,'Rev-Exp Plan'!T55,0)</f>
        <v>#REF!</v>
      </c>
    </row>
    <row r="77" spans="1:9">
      <c r="A77" s="2" t="s">
        <v>660</v>
      </c>
      <c r="B77" s="29" t="e">
        <f>+B76-B72</f>
        <v>#REF!</v>
      </c>
    </row>
    <row r="78" spans="1:9">
      <c r="A78" s="71" t="s">
        <v>345</v>
      </c>
      <c r="B78" s="29" t="e">
        <f>+B77-E75-E76</f>
        <v>#REF!</v>
      </c>
      <c r="C78" s="243"/>
    </row>
    <row r="79" spans="1:9">
      <c r="A79" s="2" t="s">
        <v>661</v>
      </c>
      <c r="C79" s="29"/>
    </row>
    <row r="80" spans="1:9">
      <c r="A80" s="2" t="s">
        <v>662</v>
      </c>
      <c r="B80" s="29" t="e">
        <f>+H28</f>
        <v>#REF!</v>
      </c>
    </row>
    <row r="81" spans="1:8">
      <c r="A81" s="2" t="s">
        <v>663</v>
      </c>
      <c r="B81" s="29" t="e">
        <f>+H34</f>
        <v>#REF!</v>
      </c>
    </row>
    <row r="82" spans="1:8">
      <c r="A82" s="2" t="s">
        <v>664</v>
      </c>
      <c r="B82" s="29" t="e">
        <f>+H40</f>
        <v>#REF!</v>
      </c>
    </row>
    <row r="83" spans="1:8">
      <c r="A83" s="2" t="s">
        <v>665</v>
      </c>
      <c r="B83" s="29">
        <f>+H51</f>
        <v>2509613.1128174029</v>
      </c>
    </row>
    <row r="84" spans="1:8">
      <c r="A84" s="2" t="s">
        <v>666</v>
      </c>
      <c r="B84" s="29" t="e">
        <f>+H57</f>
        <v>#REF!</v>
      </c>
    </row>
    <row r="85" spans="1:8">
      <c r="A85" s="2" t="s">
        <v>667</v>
      </c>
      <c r="B85" s="29" t="e">
        <f>+H66</f>
        <v>#REF!</v>
      </c>
    </row>
    <row r="86" spans="1:8">
      <c r="B86" s="57" t="e">
        <f>SUM(B80:B85)</f>
        <v>#REF!</v>
      </c>
    </row>
    <row r="87" spans="1:8">
      <c r="A87" s="2" t="s">
        <v>668</v>
      </c>
      <c r="B87" s="29" t="e">
        <f>+B78-B86</f>
        <v>#REF!</v>
      </c>
    </row>
    <row r="88" spans="1:8">
      <c r="B88" s="29"/>
    </row>
    <row r="89" spans="1:8">
      <c r="A89" s="8"/>
      <c r="B89" s="9" t="s">
        <v>619</v>
      </c>
      <c r="C89" s="9" t="s">
        <v>620</v>
      </c>
      <c r="D89" s="9" t="s">
        <v>621</v>
      </c>
      <c r="E89" s="10" t="s">
        <v>622</v>
      </c>
      <c r="F89" s="10" t="s">
        <v>623</v>
      </c>
      <c r="G89" s="10" t="s">
        <v>624</v>
      </c>
      <c r="H89" s="11" t="s">
        <v>625</v>
      </c>
    </row>
    <row r="90" spans="1:8">
      <c r="A90" s="248" t="s">
        <v>508</v>
      </c>
      <c r="B90" s="58" t="e">
        <f>+B9</f>
        <v>#REF!</v>
      </c>
      <c r="C90" s="58" t="e">
        <f>+C9</f>
        <v>#REF!</v>
      </c>
      <c r="D90" s="58" t="e">
        <f>+D9</f>
        <v>#REF!</v>
      </c>
      <c r="E90" s="58" t="e">
        <f>+E9</f>
        <v>#REF!</v>
      </c>
      <c r="F90" s="58" t="e">
        <f>+F9</f>
        <v>#REF!</v>
      </c>
      <c r="G90" s="59" t="s">
        <v>669</v>
      </c>
      <c r="H90" s="49" t="e">
        <f>SUM(B90:G90)</f>
        <v>#REF!</v>
      </c>
    </row>
    <row r="91" spans="1:8">
      <c r="A91" s="60" t="s">
        <v>670</v>
      </c>
      <c r="B91" s="26" t="e">
        <f>+B90/$H90</f>
        <v>#REF!</v>
      </c>
      <c r="C91" s="26" t="e">
        <f>+C90/$H90</f>
        <v>#REF!</v>
      </c>
      <c r="D91" s="26" t="e">
        <f>+D90/$H90</f>
        <v>#REF!</v>
      </c>
      <c r="E91" s="26" t="e">
        <f>+E90/$H90</f>
        <v>#REF!</v>
      </c>
      <c r="F91" s="26" t="e">
        <f>+F90/$H90</f>
        <v>#REF!</v>
      </c>
      <c r="G91" s="26"/>
      <c r="H91" s="61"/>
    </row>
    <row r="92" spans="1:8">
      <c r="A92" s="62" t="s">
        <v>671</v>
      </c>
      <c r="B92" s="31" t="e">
        <f t="shared" ref="B92:G92" si="0">+B91*$B87</f>
        <v>#REF!</v>
      </c>
      <c r="C92" s="31" t="e">
        <f t="shared" si="0"/>
        <v>#REF!</v>
      </c>
      <c r="D92" s="31" t="e">
        <f t="shared" si="0"/>
        <v>#REF!</v>
      </c>
      <c r="E92" s="31" t="e">
        <f t="shared" si="0"/>
        <v>#REF!</v>
      </c>
      <c r="F92" s="31" t="e">
        <f t="shared" si="0"/>
        <v>#REF!</v>
      </c>
      <c r="G92" s="31" t="e">
        <f t="shared" si="0"/>
        <v>#REF!</v>
      </c>
      <c r="H92" s="32" t="e">
        <f>SUM(B92:G92)</f>
        <v>#REF!</v>
      </c>
    </row>
    <row r="93" spans="1:8">
      <c r="A93" s="25"/>
      <c r="B93" s="28"/>
      <c r="C93" s="28"/>
      <c r="D93" s="28"/>
      <c r="E93" s="28"/>
      <c r="F93" s="28"/>
      <c r="G93" s="28"/>
      <c r="H93" s="29"/>
    </row>
    <row r="95" spans="1:8">
      <c r="A95" s="2" t="s">
        <v>672</v>
      </c>
    </row>
    <row r="96" spans="1:8">
      <c r="A96" s="7" t="s">
        <v>406</v>
      </c>
    </row>
    <row r="97" spans="1:8">
      <c r="A97" s="8"/>
      <c r="B97" s="9" t="s">
        <v>619</v>
      </c>
      <c r="C97" s="9" t="s">
        <v>620</v>
      </c>
      <c r="D97" s="9" t="s">
        <v>621</v>
      </c>
      <c r="E97" s="10" t="s">
        <v>622</v>
      </c>
      <c r="F97" s="10" t="s">
        <v>623</v>
      </c>
      <c r="G97" s="10" t="s">
        <v>624</v>
      </c>
      <c r="H97" s="11" t="s">
        <v>625</v>
      </c>
    </row>
    <row r="98" spans="1:8">
      <c r="A98" s="18" t="s">
        <v>508</v>
      </c>
      <c r="B98" s="13" t="e">
        <f t="shared" ref="B98:G98" si="1">+B9</f>
        <v>#REF!</v>
      </c>
      <c r="C98" s="13" t="e">
        <f t="shared" si="1"/>
        <v>#REF!</v>
      </c>
      <c r="D98" s="13" t="e">
        <f t="shared" si="1"/>
        <v>#REF!</v>
      </c>
      <c r="E98" s="13" t="e">
        <f t="shared" si="1"/>
        <v>#REF!</v>
      </c>
      <c r="F98" s="13" t="e">
        <f t="shared" si="1"/>
        <v>#REF!</v>
      </c>
      <c r="G98" s="13" t="e">
        <f t="shared" si="1"/>
        <v>#REF!</v>
      </c>
      <c r="H98" s="14" t="e">
        <f t="shared" ref="H98:H105" si="2">SUM(B98:G98)</f>
        <v>#REF!</v>
      </c>
    </row>
    <row r="99" spans="1:8">
      <c r="A99" s="18" t="s">
        <v>662</v>
      </c>
      <c r="B99" s="58" t="e">
        <f t="shared" ref="B99:G99" si="3">+B28</f>
        <v>#REF!</v>
      </c>
      <c r="C99" s="58" t="e">
        <f t="shared" si="3"/>
        <v>#REF!</v>
      </c>
      <c r="D99" s="58" t="e">
        <f t="shared" si="3"/>
        <v>#REF!</v>
      </c>
      <c r="E99" s="58">
        <f t="shared" si="3"/>
        <v>0</v>
      </c>
      <c r="F99" s="58">
        <f t="shared" si="3"/>
        <v>0</v>
      </c>
      <c r="G99" s="58">
        <f t="shared" si="3"/>
        <v>0</v>
      </c>
      <c r="H99" s="49" t="e">
        <f t="shared" si="2"/>
        <v>#REF!</v>
      </c>
    </row>
    <row r="100" spans="1:8">
      <c r="A100" s="18" t="s">
        <v>673</v>
      </c>
      <c r="B100" s="13">
        <f t="shared" ref="B100:G100" si="4">+B34</f>
        <v>0</v>
      </c>
      <c r="C100" s="13">
        <f t="shared" si="4"/>
        <v>0</v>
      </c>
      <c r="D100" s="13">
        <f t="shared" si="4"/>
        <v>0</v>
      </c>
      <c r="E100" s="13">
        <f t="shared" si="4"/>
        <v>0</v>
      </c>
      <c r="F100" s="13">
        <f t="shared" si="4"/>
        <v>0</v>
      </c>
      <c r="G100" s="13" t="e">
        <f t="shared" si="4"/>
        <v>#REF!</v>
      </c>
      <c r="H100" s="49" t="e">
        <f t="shared" si="2"/>
        <v>#REF!</v>
      </c>
    </row>
    <row r="101" spans="1:8">
      <c r="A101" s="18" t="s">
        <v>664</v>
      </c>
      <c r="B101" s="13">
        <f t="shared" ref="B101:G101" si="5">+B40</f>
        <v>0</v>
      </c>
      <c r="C101" s="13">
        <f t="shared" si="5"/>
        <v>0</v>
      </c>
      <c r="D101" s="13">
        <f t="shared" si="5"/>
        <v>0</v>
      </c>
      <c r="E101" s="13">
        <f t="shared" si="5"/>
        <v>0</v>
      </c>
      <c r="F101" s="13" t="e">
        <f t="shared" si="5"/>
        <v>#REF!</v>
      </c>
      <c r="G101" s="13">
        <f t="shared" si="5"/>
        <v>0</v>
      </c>
      <c r="H101" s="49" t="e">
        <f t="shared" si="2"/>
        <v>#REF!</v>
      </c>
    </row>
    <row r="102" spans="1:8">
      <c r="A102" s="18" t="s">
        <v>665</v>
      </c>
      <c r="B102" s="58">
        <f t="shared" ref="B102:G102" si="6">+B51</f>
        <v>1370018.580762892</v>
      </c>
      <c r="C102" s="58">
        <f t="shared" si="6"/>
        <v>539765.4108702892</v>
      </c>
      <c r="D102" s="58">
        <f t="shared" si="6"/>
        <v>599829.12118422182</v>
      </c>
      <c r="E102" s="58">
        <f t="shared" si="6"/>
        <v>0</v>
      </c>
      <c r="F102" s="58">
        <f t="shared" si="6"/>
        <v>0</v>
      </c>
      <c r="G102" s="58">
        <f t="shared" si="6"/>
        <v>0</v>
      </c>
      <c r="H102" s="49">
        <f t="shared" si="2"/>
        <v>2509613.1128174029</v>
      </c>
    </row>
    <row r="103" spans="1:8">
      <c r="A103" s="18" t="s">
        <v>666</v>
      </c>
      <c r="B103" s="13">
        <f t="shared" ref="B103:G103" si="7">+B57</f>
        <v>0</v>
      </c>
      <c r="C103" s="13">
        <f t="shared" si="7"/>
        <v>0</v>
      </c>
      <c r="D103" s="13">
        <f t="shared" si="7"/>
        <v>0</v>
      </c>
      <c r="E103" s="13" t="e">
        <f t="shared" si="7"/>
        <v>#REF!</v>
      </c>
      <c r="F103" s="13" t="e">
        <f t="shared" si="7"/>
        <v>#REF!</v>
      </c>
      <c r="G103" s="13">
        <f t="shared" si="7"/>
        <v>0</v>
      </c>
      <c r="H103" s="49" t="e">
        <f t="shared" si="2"/>
        <v>#REF!</v>
      </c>
    </row>
    <row r="104" spans="1:8">
      <c r="A104" s="18" t="s">
        <v>667</v>
      </c>
      <c r="B104" s="13" t="e">
        <f t="shared" ref="B104:G104" si="8">+B66</f>
        <v>#REF!</v>
      </c>
      <c r="C104" s="13" t="e">
        <f t="shared" si="8"/>
        <v>#REF!</v>
      </c>
      <c r="D104" s="13" t="e">
        <f t="shared" si="8"/>
        <v>#REF!</v>
      </c>
      <c r="E104" s="13" t="e">
        <f t="shared" si="8"/>
        <v>#REF!</v>
      </c>
      <c r="F104" s="13" t="e">
        <f t="shared" si="8"/>
        <v>#REF!</v>
      </c>
      <c r="G104" s="13" t="e">
        <f t="shared" si="8"/>
        <v>#REF!</v>
      </c>
      <c r="H104" s="49" t="e">
        <f t="shared" si="2"/>
        <v>#REF!</v>
      </c>
    </row>
    <row r="105" spans="1:8">
      <c r="A105" s="18" t="s">
        <v>674</v>
      </c>
      <c r="B105" s="63" t="e">
        <f t="shared" ref="B105:G105" si="9">+B92</f>
        <v>#REF!</v>
      </c>
      <c r="C105" s="63" t="e">
        <f t="shared" si="9"/>
        <v>#REF!</v>
      </c>
      <c r="D105" s="63" t="e">
        <f t="shared" si="9"/>
        <v>#REF!</v>
      </c>
      <c r="E105" s="63" t="e">
        <f t="shared" si="9"/>
        <v>#REF!</v>
      </c>
      <c r="F105" s="63" t="e">
        <f t="shared" si="9"/>
        <v>#REF!</v>
      </c>
      <c r="G105" s="63" t="e">
        <f t="shared" si="9"/>
        <v>#REF!</v>
      </c>
      <c r="H105" s="32" t="e">
        <f t="shared" si="2"/>
        <v>#REF!</v>
      </c>
    </row>
    <row r="106" spans="1:8">
      <c r="A106" s="18" t="s">
        <v>675</v>
      </c>
      <c r="B106" s="63" t="e">
        <f t="shared" ref="B106:H106" si="10">SUM(B99:B105)</f>
        <v>#REF!</v>
      </c>
      <c r="C106" s="63" t="e">
        <f t="shared" si="10"/>
        <v>#REF!</v>
      </c>
      <c r="D106" s="63" t="e">
        <f t="shared" si="10"/>
        <v>#REF!</v>
      </c>
      <c r="E106" s="63" t="e">
        <f t="shared" si="10"/>
        <v>#REF!</v>
      </c>
      <c r="F106" s="63" t="e">
        <f t="shared" si="10"/>
        <v>#REF!</v>
      </c>
      <c r="G106" s="63" t="e">
        <f t="shared" si="10"/>
        <v>#REF!</v>
      </c>
      <c r="H106" s="32" t="e">
        <f t="shared" si="10"/>
        <v>#REF!</v>
      </c>
    </row>
    <row r="107" spans="1:8">
      <c r="A107" s="8"/>
      <c r="B107" s="9" t="s">
        <v>619</v>
      </c>
      <c r="C107" s="9" t="s">
        <v>620</v>
      </c>
      <c r="D107" s="9" t="s">
        <v>621</v>
      </c>
      <c r="E107" s="10" t="s">
        <v>622</v>
      </c>
      <c r="F107" s="10" t="s">
        <v>623</v>
      </c>
      <c r="G107" s="10" t="s">
        <v>624</v>
      </c>
      <c r="H107" s="11" t="s">
        <v>625</v>
      </c>
    </row>
    <row r="108" spans="1:8">
      <c r="A108" s="12" t="s">
        <v>407</v>
      </c>
      <c r="B108" s="64" t="e">
        <f>+B106+B98</f>
        <v>#REF!</v>
      </c>
      <c r="C108" s="64" t="e">
        <f>+C106+C98</f>
        <v>#REF!</v>
      </c>
      <c r="D108" s="64" t="e">
        <f>+D106+D98</f>
        <v>#REF!</v>
      </c>
      <c r="E108" s="64" t="e">
        <f>+E106+E98</f>
        <v>#REF!</v>
      </c>
      <c r="F108" s="64" t="e">
        <f>+F106+F98</f>
        <v>#REF!</v>
      </c>
      <c r="G108" s="64" t="e">
        <f>+G106+G98-0.5</f>
        <v>#REF!</v>
      </c>
      <c r="H108" s="53" t="e">
        <f>+H106+H98</f>
        <v>#REF!</v>
      </c>
    </row>
    <row r="109" spans="1:8">
      <c r="H109" s="29"/>
    </row>
    <row r="110" spans="1:8">
      <c r="A110" s="314" t="s">
        <v>225</v>
      </c>
      <c r="B110" s="13" t="e">
        <f>+'[34]Resource Alloc 08-09'!B$108</f>
        <v>#REF!</v>
      </c>
      <c r="C110" s="13" t="e">
        <f>+'[34]Resource Alloc 08-09'!C$108</f>
        <v>#REF!</v>
      </c>
      <c r="D110" s="13" t="e">
        <f>+'[34]Resource Alloc 08-09'!D$108</f>
        <v>#REF!</v>
      </c>
      <c r="E110" s="13" t="e">
        <f>+'[34]Resource Alloc 08-09'!E$108</f>
        <v>#REF!</v>
      </c>
      <c r="F110" s="13" t="e">
        <f>+'[34]Resource Alloc 08-09'!F$108</f>
        <v>#REF!</v>
      </c>
      <c r="G110" s="13" t="e">
        <f>+'[34]Resource Alloc 08-09'!G$108</f>
        <v>#REF!</v>
      </c>
      <c r="H110" s="13" t="e">
        <f>SUM(B110:G110)</f>
        <v>#REF!</v>
      </c>
    </row>
    <row r="111" spans="1:8">
      <c r="A111" s="314" t="s">
        <v>352</v>
      </c>
      <c r="B111" s="13" t="e">
        <f>+B108-B110</f>
        <v>#REF!</v>
      </c>
      <c r="C111" s="13" t="e">
        <f t="shared" ref="C111:H111" si="11">+C108-C110</f>
        <v>#REF!</v>
      </c>
      <c r="D111" s="13" t="e">
        <f t="shared" si="11"/>
        <v>#REF!</v>
      </c>
      <c r="E111" s="13" t="e">
        <f t="shared" si="11"/>
        <v>#REF!</v>
      </c>
      <c r="F111" s="13" t="e">
        <f t="shared" si="11"/>
        <v>#REF!</v>
      </c>
      <c r="G111" s="13" t="e">
        <f t="shared" si="11"/>
        <v>#REF!</v>
      </c>
      <c r="H111" s="13" t="e">
        <f t="shared" si="11"/>
        <v>#REF!</v>
      </c>
    </row>
    <row r="112" spans="1:8">
      <c r="F112" s="20"/>
      <c r="G112" s="20"/>
      <c r="H112" s="29"/>
    </row>
    <row r="113" spans="1:9">
      <c r="F113" s="20"/>
      <c r="G113" s="58"/>
      <c r="H113" s="29"/>
    </row>
    <row r="114" spans="1:9">
      <c r="A114" s="66" t="s">
        <v>677</v>
      </c>
      <c r="C114" s="67">
        <f>+'Sq Ft'!Q109</f>
        <v>1373660</v>
      </c>
      <c r="F114" s="20"/>
      <c r="G114" s="58"/>
      <c r="I114" s="4" t="s">
        <v>678</v>
      </c>
    </row>
    <row r="115" spans="1:9">
      <c r="A115" s="2" t="s">
        <v>679</v>
      </c>
      <c r="C115" s="68" t="e">
        <f>+'Resource Alloc 07-08'!C115*(1+Assumptions!I8)</f>
        <v>#REF!</v>
      </c>
      <c r="F115" s="20"/>
      <c r="G115" s="58"/>
    </row>
    <row r="116" spans="1:9">
      <c r="A116" s="2" t="s">
        <v>680</v>
      </c>
      <c r="C116" s="69" t="e">
        <f>+F9/SUM($B9:$D9)/2</f>
        <v>#REF!</v>
      </c>
      <c r="H116" s="29"/>
    </row>
    <row r="117" spans="1:9">
      <c r="A117" s="2" t="s">
        <v>681</v>
      </c>
      <c r="C117" s="69" t="e">
        <f>+E9/SUM($B9:$D9)</f>
        <v>#REF!</v>
      </c>
    </row>
    <row r="119" spans="1:9">
      <c r="A119" s="2" t="s">
        <v>682</v>
      </c>
    </row>
    <row r="120" spans="1:9">
      <c r="A120" s="2" t="s">
        <v>506</v>
      </c>
    </row>
    <row r="121" spans="1:9">
      <c r="A121" s="2" t="s">
        <v>507</v>
      </c>
    </row>
    <row r="122" spans="1:9">
      <c r="A122" s="2" t="s">
        <v>683</v>
      </c>
    </row>
    <row r="123" spans="1:9">
      <c r="A123" s="2" t="s">
        <v>517</v>
      </c>
    </row>
    <row r="124" spans="1:9">
      <c r="A124" s="2" t="s">
        <v>518</v>
      </c>
    </row>
  </sheetData>
  <phoneticPr fontId="12" type="noConversion"/>
  <pageMargins left="0.75" right="0.75" top="1" bottom="1" header="0.5" footer="0.5"/>
  <headerFooter alignWithMargins="0">
    <oddHeader>&amp;CRevised Budget Scenario
9/17/08</oddHeader>
  </headerFooter>
  <rowBreaks count="3" manualBreakCount="3">
    <brk id="36" max="8" man="1"/>
    <brk id="68" max="8" man="1"/>
    <brk id="94" max="16383" man="1"/>
  </rowBreaks>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24"/>
  <sheetViews>
    <sheetView workbookViewId="0"/>
  </sheetViews>
  <sheetFormatPr defaultColWidth="9.28515625" defaultRowHeight="12.75"/>
  <cols>
    <col min="1" max="1" width="19.42578125" style="2" customWidth="1"/>
    <col min="2" max="5" width="13.42578125" style="2" customWidth="1"/>
    <col min="6" max="6" width="13.42578125" style="2" bestFit="1" customWidth="1"/>
    <col min="7" max="8" width="15" style="2" bestFit="1" customWidth="1"/>
    <col min="9" max="9" width="7" style="4" bestFit="1" customWidth="1"/>
    <col min="10" max="10" width="22.42578125" style="2" bestFit="1" customWidth="1"/>
    <col min="11" max="16384" width="9.28515625" style="2"/>
  </cols>
  <sheetData>
    <row r="1" spans="1:10">
      <c r="A1" s="1" t="s">
        <v>497</v>
      </c>
      <c r="H1" s="3" t="s">
        <v>615</v>
      </c>
    </row>
    <row r="2" spans="1:10">
      <c r="A2" s="5"/>
    </row>
    <row r="3" spans="1:10">
      <c r="A3" s="1"/>
    </row>
    <row r="4" spans="1:10">
      <c r="A4" s="6" t="s">
        <v>616</v>
      </c>
    </row>
    <row r="5" spans="1:10">
      <c r="A5" s="6" t="s">
        <v>617</v>
      </c>
    </row>
    <row r="6" spans="1:10">
      <c r="F6" s="29"/>
    </row>
    <row r="7" spans="1:10">
      <c r="A7" s="7" t="s">
        <v>618</v>
      </c>
    </row>
    <row r="8" spans="1:10">
      <c r="A8" s="8"/>
      <c r="B8" s="9" t="s">
        <v>619</v>
      </c>
      <c r="C8" s="9" t="s">
        <v>620</v>
      </c>
      <c r="D8" s="9" t="s">
        <v>621</v>
      </c>
      <c r="E8" s="10" t="s">
        <v>622</v>
      </c>
      <c r="F8" s="10" t="s">
        <v>623</v>
      </c>
      <c r="G8" s="10" t="s">
        <v>624</v>
      </c>
      <c r="H8" s="11" t="s">
        <v>625</v>
      </c>
    </row>
    <row r="9" spans="1:10">
      <c r="A9" s="12" t="s">
        <v>676</v>
      </c>
      <c r="B9" s="13" t="e">
        <f>+'[35]Resource Alloc'!B$107</f>
        <v>#REF!</v>
      </c>
      <c r="C9" s="13" t="e">
        <f>+'[35]Resource Alloc'!C$107</f>
        <v>#REF!</v>
      </c>
      <c r="D9" s="13" t="e">
        <f>+'[35]Resource Alloc'!D$107</f>
        <v>#REF!</v>
      </c>
      <c r="E9" s="13" t="e">
        <f>+'[35]Resource Alloc'!E$107</f>
        <v>#REF!</v>
      </c>
      <c r="F9" s="13" t="e">
        <f>+'[35]Resource Alloc'!F$107</f>
        <v>#REF!</v>
      </c>
      <c r="G9" s="13" t="e">
        <f>+'[35]Resource Alloc'!G$107</f>
        <v>#REF!</v>
      </c>
      <c r="H9" s="14" t="e">
        <f>SUM(B9:G9)</f>
        <v>#REF!</v>
      </c>
      <c r="I9" s="4" t="s">
        <v>626</v>
      </c>
    </row>
    <row r="10" spans="1:10">
      <c r="B10" s="69" t="e">
        <f>+B9/SUM($B9:$D9)</f>
        <v>#REF!</v>
      </c>
      <c r="C10" s="69" t="e">
        <f>+C9/SUM($B9:$D9)</f>
        <v>#REF!</v>
      </c>
      <c r="D10" s="69" t="e">
        <f>+D9/SUM($B9:$D9)</f>
        <v>#REF!</v>
      </c>
    </row>
    <row r="11" spans="1:10">
      <c r="A11" s="16" t="s">
        <v>643</v>
      </c>
      <c r="B11" s="15">
        <f>+Revenues!E33</f>
        <v>6801.1438873313609</v>
      </c>
      <c r="C11" s="15">
        <f>+Revenues!C33</f>
        <v>4254.28</v>
      </c>
      <c r="D11" s="15">
        <f>+Revenues!D33</f>
        <v>8790.8246633313338</v>
      </c>
      <c r="E11" s="16"/>
      <c r="F11" s="16"/>
      <c r="G11" s="16"/>
      <c r="H11" s="17">
        <f>SUM(B11:D11)</f>
        <v>19846.248550662694</v>
      </c>
      <c r="J11" s="2" t="s">
        <v>499</v>
      </c>
    </row>
    <row r="12" spans="1:10">
      <c r="A12" s="20" t="s">
        <v>627</v>
      </c>
      <c r="B12" s="19">
        <v>6886.6056190273921</v>
      </c>
      <c r="C12" s="19">
        <v>4193.4399999999996</v>
      </c>
      <c r="D12" s="19">
        <v>8669.9701501171239</v>
      </c>
      <c r="E12" s="20"/>
      <c r="F12" s="20"/>
      <c r="G12" s="20"/>
      <c r="H12" s="21">
        <f>SUM(B12:D12)</f>
        <v>19750.015769144513</v>
      </c>
    </row>
    <row r="13" spans="1:10">
      <c r="A13" s="18" t="s">
        <v>628</v>
      </c>
      <c r="B13" s="19">
        <v>6970</v>
      </c>
      <c r="C13" s="19">
        <v>4058</v>
      </c>
      <c r="D13" s="19">
        <v>8942</v>
      </c>
      <c r="E13" s="20"/>
      <c r="F13" s="20"/>
      <c r="G13" s="20"/>
      <c r="H13" s="21">
        <f>SUM(B13:D13)</f>
        <v>19970</v>
      </c>
    </row>
    <row r="14" spans="1:10">
      <c r="A14" s="12" t="s">
        <v>629</v>
      </c>
      <c r="B14" s="22">
        <f>AVERAGE(B11:B13)</f>
        <v>6885.916502119584</v>
      </c>
      <c r="C14" s="22">
        <f>AVERAGE(C11:C13)</f>
        <v>4168.5733333333328</v>
      </c>
      <c r="D14" s="22">
        <f>AVERAGE(D11:D13)</f>
        <v>8800.9316044828192</v>
      </c>
      <c r="E14" s="23"/>
      <c r="F14" s="23"/>
      <c r="G14" s="23"/>
      <c r="H14" s="24">
        <f>SUM(B14:D14)</f>
        <v>19855.421439935737</v>
      </c>
      <c r="I14" s="4" t="s">
        <v>630</v>
      </c>
    </row>
    <row r="15" spans="1:10">
      <c r="A15" s="25" t="s">
        <v>631</v>
      </c>
      <c r="B15" s="65">
        <f>+B14/$H14</f>
        <v>0.34680283785212218</v>
      </c>
      <c r="C15" s="65">
        <f>+C14/$H14</f>
        <v>0.20994635374240764</v>
      </c>
      <c r="D15" s="65">
        <f>+D14/$H14</f>
        <v>0.44325080840547015</v>
      </c>
      <c r="E15" s="20"/>
      <c r="F15" s="20"/>
      <c r="G15" s="20"/>
      <c r="H15" s="19"/>
    </row>
    <row r="16" spans="1:10">
      <c r="A16" s="25"/>
      <c r="B16" s="26"/>
      <c r="C16" s="26"/>
      <c r="D16" s="26"/>
      <c r="E16" s="20"/>
      <c r="F16" s="20"/>
      <c r="G16" s="20"/>
      <c r="H16" s="19"/>
    </row>
    <row r="17" spans="1:8">
      <c r="A17" s="27" t="s">
        <v>632</v>
      </c>
    </row>
    <row r="18" spans="1:8">
      <c r="A18" s="20" t="s">
        <v>633</v>
      </c>
      <c r="B18" s="28" t="e">
        <f>0.8*B9</f>
        <v>#REF!</v>
      </c>
      <c r="C18" s="28" t="e">
        <f>0.8*C9</f>
        <v>#REF!</v>
      </c>
      <c r="D18" s="28" t="e">
        <f>0.8*D9</f>
        <v>#REF!</v>
      </c>
      <c r="H18" s="28" t="e">
        <f>SUM(B18:G18)</f>
        <v>#REF!</v>
      </c>
    </row>
    <row r="19" spans="1:8">
      <c r="A19" s="20"/>
    </row>
    <row r="20" spans="1:8">
      <c r="A20" s="27" t="s">
        <v>634</v>
      </c>
    </row>
    <row r="21" spans="1:8">
      <c r="A21" s="20" t="s">
        <v>635</v>
      </c>
      <c r="B21" s="28" t="e">
        <f>+($H9-$H18-$E9-$F9-$G9)/$H14*B14</f>
        <v>#REF!</v>
      </c>
      <c r="C21" s="28" t="e">
        <f>+($H9-$H18-$E9-$F9-$G9)/$H14*C14</f>
        <v>#REF!</v>
      </c>
      <c r="D21" s="28" t="e">
        <f>+($H9-$H18-$E9-$F9-$G9)/$H14*D14</f>
        <v>#REF!</v>
      </c>
      <c r="H21" s="28" t="e">
        <f>SUM(B21:G21)</f>
        <v>#REF!</v>
      </c>
    </row>
    <row r="22" spans="1:8">
      <c r="A22" s="20"/>
    </row>
    <row r="23" spans="1:8">
      <c r="A23" s="27" t="s">
        <v>414</v>
      </c>
    </row>
    <row r="24" spans="1:8">
      <c r="A24" s="20" t="s">
        <v>625</v>
      </c>
      <c r="B24" s="29" t="e">
        <f>+B21+B18</f>
        <v>#REF!</v>
      </c>
      <c r="C24" s="29" t="e">
        <f>+C21+C18</f>
        <v>#REF!</v>
      </c>
      <c r="D24" s="29" t="e">
        <f>+D21+D18</f>
        <v>#REF!</v>
      </c>
      <c r="H24" s="28" t="e">
        <f>SUM(B24:G24)</f>
        <v>#REF!</v>
      </c>
    </row>
    <row r="25" spans="1:8">
      <c r="A25" s="25" t="s">
        <v>636</v>
      </c>
      <c r="B25" s="29" t="e">
        <f>+B24-B9</f>
        <v>#REF!</v>
      </c>
      <c r="C25" s="29" t="e">
        <f>+C24-C9</f>
        <v>#REF!</v>
      </c>
      <c r="D25" s="29" t="e">
        <f>+D24-D9</f>
        <v>#REF!</v>
      </c>
      <c r="H25" s="28" t="e">
        <f>SUM(B25:G25)</f>
        <v>#REF!</v>
      </c>
    </row>
    <row r="26" spans="1:8">
      <c r="A26" s="25"/>
    </row>
    <row r="27" spans="1:8">
      <c r="A27" s="30" t="s">
        <v>637</v>
      </c>
    </row>
    <row r="28" spans="1:8">
      <c r="A28" s="25" t="s">
        <v>638</v>
      </c>
      <c r="B28" s="29" t="e">
        <f>MAX(B25,0)</f>
        <v>#REF!</v>
      </c>
      <c r="C28" s="29" t="e">
        <f>MAX(C25,0)</f>
        <v>#REF!</v>
      </c>
      <c r="D28" s="29" t="e">
        <f>MAX(D25,0)</f>
        <v>#REF!</v>
      </c>
      <c r="H28" s="28" t="e">
        <f>SUM(B28:G28)</f>
        <v>#REF!</v>
      </c>
    </row>
    <row r="29" spans="1:8">
      <c r="A29" s="25"/>
      <c r="B29" s="29"/>
      <c r="C29" s="29"/>
      <c r="D29" s="29"/>
      <c r="H29" s="28"/>
    </row>
    <row r="31" spans="1:8">
      <c r="A31" s="6" t="s">
        <v>639</v>
      </c>
    </row>
    <row r="32" spans="1:8">
      <c r="A32" s="7" t="s">
        <v>498</v>
      </c>
    </row>
    <row r="33" spans="1:10">
      <c r="A33" s="8"/>
      <c r="B33" s="9" t="s">
        <v>619</v>
      </c>
      <c r="C33" s="9" t="s">
        <v>620</v>
      </c>
      <c r="D33" s="9" t="s">
        <v>621</v>
      </c>
      <c r="E33" s="10" t="s">
        <v>622</v>
      </c>
      <c r="F33" s="10" t="s">
        <v>623</v>
      </c>
      <c r="G33" s="10" t="s">
        <v>624</v>
      </c>
      <c r="H33" s="11" t="s">
        <v>625</v>
      </c>
    </row>
    <row r="34" spans="1:10">
      <c r="A34" s="12" t="s">
        <v>640</v>
      </c>
      <c r="B34" s="23"/>
      <c r="C34" s="23"/>
      <c r="D34" s="23"/>
      <c r="E34" s="23"/>
      <c r="F34" s="23"/>
      <c r="G34" s="31" t="e">
        <f>+'[36]Resource Alloc 07-08'!$G$34</f>
        <v>#REF!</v>
      </c>
      <c r="H34" s="32" t="e">
        <f>SUM(G34)</f>
        <v>#REF!</v>
      </c>
      <c r="I34" s="4" t="s">
        <v>641</v>
      </c>
    </row>
    <row r="35" spans="1:10">
      <c r="A35" s="16"/>
      <c r="G35" s="28"/>
      <c r="H35" s="29"/>
    </row>
    <row r="36" spans="1:10">
      <c r="A36" s="20"/>
      <c r="G36" s="29"/>
    </row>
    <row r="37" spans="1:10">
      <c r="A37" s="6" t="s">
        <v>515</v>
      </c>
    </row>
    <row r="38" spans="1:10">
      <c r="A38" s="33" t="s">
        <v>500</v>
      </c>
    </row>
    <row r="39" spans="1:10">
      <c r="A39" s="8"/>
      <c r="B39" s="9" t="s">
        <v>619</v>
      </c>
      <c r="C39" s="9" t="s">
        <v>620</v>
      </c>
      <c r="D39" s="9" t="s">
        <v>621</v>
      </c>
      <c r="E39" s="10" t="s">
        <v>622</v>
      </c>
      <c r="F39" s="10" t="s">
        <v>623</v>
      </c>
      <c r="G39" s="10" t="s">
        <v>624</v>
      </c>
      <c r="H39" s="11" t="s">
        <v>625</v>
      </c>
    </row>
    <row r="40" spans="1:10">
      <c r="A40" s="12"/>
      <c r="B40" s="22"/>
      <c r="C40" s="22"/>
      <c r="D40" s="22"/>
      <c r="E40" s="23"/>
      <c r="F40" s="31" t="e">
        <f>'Sq Ft'!C54*C115</f>
        <v>#REF!</v>
      </c>
      <c r="G40" s="23"/>
      <c r="H40" s="32" t="e">
        <f>SUM(F40:G40)</f>
        <v>#REF!</v>
      </c>
      <c r="J40" s="2" t="s">
        <v>513</v>
      </c>
    </row>
    <row r="41" spans="1:10">
      <c r="A41" s="20"/>
      <c r="B41" s="19"/>
      <c r="C41" s="19"/>
      <c r="D41" s="19"/>
      <c r="F41" s="28"/>
      <c r="H41" s="29"/>
    </row>
    <row r="42" spans="1:10">
      <c r="A42" s="20"/>
      <c r="B42" s="19"/>
      <c r="C42" s="19"/>
      <c r="D42" s="19"/>
    </row>
    <row r="43" spans="1:10">
      <c r="A43" s="6" t="s">
        <v>642</v>
      </c>
    </row>
    <row r="44" spans="1:10">
      <c r="A44" s="7" t="s">
        <v>501</v>
      </c>
      <c r="D44" s="7"/>
      <c r="J44" s="34"/>
    </row>
    <row r="45" spans="1:10">
      <c r="A45" s="8"/>
      <c r="B45" s="9" t="s">
        <v>619</v>
      </c>
      <c r="C45" s="9" t="s">
        <v>620</v>
      </c>
      <c r="D45" s="9" t="s">
        <v>621</v>
      </c>
      <c r="E45" s="10" t="s">
        <v>622</v>
      </c>
      <c r="F45" s="10" t="s">
        <v>623</v>
      </c>
      <c r="G45" s="10" t="s">
        <v>624</v>
      </c>
      <c r="H45" s="11" t="s">
        <v>625</v>
      </c>
    </row>
    <row r="46" spans="1:10">
      <c r="A46" s="18" t="s">
        <v>502</v>
      </c>
      <c r="B46" s="19" t="e">
        <f>+'[33]Resource Alloc 07-08'!B$46</f>
        <v>#REF!</v>
      </c>
      <c r="C46" s="19" t="e">
        <f>+'[33]Resource Alloc 07-08'!C$46</f>
        <v>#REF!</v>
      </c>
      <c r="D46" s="19" t="e">
        <f>+'[33]Resource Alloc 07-08'!D$46</f>
        <v>#REF!</v>
      </c>
      <c r="E46" s="20"/>
      <c r="F46" s="20"/>
      <c r="G46" s="19"/>
      <c r="H46" s="35" t="e">
        <f>SUM(B46:G46)</f>
        <v>#REF!</v>
      </c>
    </row>
    <row r="47" spans="1:10">
      <c r="A47" s="18" t="s">
        <v>644</v>
      </c>
      <c r="B47" s="36" t="e">
        <f>AVERAGE(B46,B11,B12)</f>
        <v>#REF!</v>
      </c>
      <c r="C47" s="36" t="e">
        <f>AVERAGE(C46,C11,C12)</f>
        <v>#REF!</v>
      </c>
      <c r="D47" s="36" t="e">
        <f>AVERAGE(D46,D11,D12)</f>
        <v>#REF!</v>
      </c>
      <c r="E47" s="20"/>
      <c r="F47" s="20"/>
      <c r="G47" s="20"/>
      <c r="H47" s="35" t="e">
        <f>SUM(B47:G47)</f>
        <v>#REF!</v>
      </c>
    </row>
    <row r="48" spans="1:10">
      <c r="A48" s="12" t="s">
        <v>645</v>
      </c>
      <c r="B48" s="37" t="e">
        <f>+B47-B14</f>
        <v>#REF!</v>
      </c>
      <c r="C48" s="37" t="e">
        <f>+C47-C14</f>
        <v>#REF!</v>
      </c>
      <c r="D48" s="37" t="e">
        <f>+D47-D14</f>
        <v>#REF!</v>
      </c>
      <c r="E48" s="23"/>
      <c r="F48" s="23"/>
      <c r="G48" s="23"/>
      <c r="H48" s="38" t="e">
        <f>SUM(B48:G48)</f>
        <v>#REF!</v>
      </c>
      <c r="J48" s="39"/>
    </row>
    <row r="49" spans="1:10">
      <c r="A49" s="7" t="s">
        <v>509</v>
      </c>
    </row>
    <row r="50" spans="1:10">
      <c r="A50" s="7"/>
      <c r="H50" s="28" t="e">
        <f>+ROUND((4366*H48-F40)/(1+C117+C116)/H48,)</f>
        <v>#REF!</v>
      </c>
    </row>
    <row r="51" spans="1:10">
      <c r="A51" s="8" t="s">
        <v>646</v>
      </c>
      <c r="B51" s="40" t="e">
        <f>3600*B48</f>
        <v>#REF!</v>
      </c>
      <c r="C51" s="40" t="e">
        <f>3600*C48</f>
        <v>#REF!</v>
      </c>
      <c r="D51" s="40" t="e">
        <f>3600*D48</f>
        <v>#REF!</v>
      </c>
      <c r="E51" s="16"/>
      <c r="F51" s="16"/>
      <c r="G51" s="40">
        <f>3600*G48</f>
        <v>0</v>
      </c>
      <c r="H51" s="41" t="e">
        <f>SUM(B51:G51)</f>
        <v>#REF!</v>
      </c>
    </row>
    <row r="52" spans="1:10">
      <c r="A52" s="12"/>
      <c r="B52" s="31"/>
      <c r="C52" s="31"/>
      <c r="D52" s="31"/>
      <c r="E52" s="23"/>
      <c r="F52" s="23"/>
      <c r="G52" s="23"/>
      <c r="H52" s="32">
        <f>4366</f>
        <v>4366</v>
      </c>
      <c r="I52" s="4" t="s">
        <v>647</v>
      </c>
    </row>
    <row r="54" spans="1:10">
      <c r="A54" s="6" t="s">
        <v>516</v>
      </c>
      <c r="H54" s="42"/>
      <c r="J54" s="2">
        <f>3400*1.0592</f>
        <v>3601.2799999999997</v>
      </c>
    </row>
    <row r="55" spans="1:10">
      <c r="A55" s="43" t="s">
        <v>399</v>
      </c>
    </row>
    <row r="56" spans="1:10">
      <c r="A56" s="8"/>
      <c r="B56" s="9" t="s">
        <v>619</v>
      </c>
      <c r="C56" s="9" t="s">
        <v>620</v>
      </c>
      <c r="D56" s="9" t="s">
        <v>621</v>
      </c>
      <c r="E56" s="10" t="s">
        <v>622</v>
      </c>
      <c r="F56" s="10" t="s">
        <v>623</v>
      </c>
      <c r="G56" s="10" t="s">
        <v>624</v>
      </c>
      <c r="H56" s="11" t="s">
        <v>625</v>
      </c>
    </row>
    <row r="57" spans="1:10">
      <c r="A57" s="12" t="s">
        <v>646</v>
      </c>
      <c r="B57" s="23"/>
      <c r="C57" s="23"/>
      <c r="D57" s="23"/>
      <c r="E57" s="31" t="e">
        <f>C117*H51</f>
        <v>#REF!</v>
      </c>
      <c r="F57" s="31" t="e">
        <f>C116*H51</f>
        <v>#REF!</v>
      </c>
      <c r="G57" s="23"/>
      <c r="H57" s="32" t="e">
        <f>SUM(E57:G57)</f>
        <v>#REF!</v>
      </c>
      <c r="I57" s="4" t="s">
        <v>648</v>
      </c>
    </row>
    <row r="58" spans="1:10">
      <c r="E58" s="28"/>
      <c r="F58" s="28"/>
      <c r="H58" s="29"/>
    </row>
    <row r="59" spans="1:10"/>
    <row r="60" spans="1:10">
      <c r="A60" s="6" t="s">
        <v>649</v>
      </c>
    </row>
    <row r="61" spans="1:10">
      <c r="A61" s="7" t="s">
        <v>503</v>
      </c>
    </row>
    <row r="62" spans="1:10">
      <c r="A62" s="8"/>
      <c r="B62" s="44" t="s">
        <v>619</v>
      </c>
      <c r="C62" s="44" t="s">
        <v>620</v>
      </c>
      <c r="D62" s="44" t="s">
        <v>621</v>
      </c>
      <c r="E62" s="45" t="s">
        <v>622</v>
      </c>
      <c r="F62" s="45" t="s">
        <v>623</v>
      </c>
      <c r="G62" s="45" t="s">
        <v>624</v>
      </c>
      <c r="H62" s="46" t="s">
        <v>625</v>
      </c>
    </row>
    <row r="63" spans="1:10">
      <c r="A63" s="47" t="s">
        <v>650</v>
      </c>
      <c r="B63" s="48"/>
      <c r="C63" s="48"/>
      <c r="D63" s="48"/>
      <c r="E63" s="48"/>
      <c r="F63" s="48"/>
      <c r="G63" s="13" t="e">
        <f>+'[36]Resource Alloc 07-08'!$G$63</f>
        <v>#REF!</v>
      </c>
      <c r="H63" s="49" t="e">
        <f>SUM(B63:G63)</f>
        <v>#REF!</v>
      </c>
      <c r="I63" s="4" t="s">
        <v>651</v>
      </c>
    </row>
    <row r="64" spans="1:10">
      <c r="A64" s="47" t="s">
        <v>476</v>
      </c>
      <c r="B64" s="48" t="e">
        <f>+'[37]06-07 Allocation'!$E$25+COLA!C132+COLA!B139</f>
        <v>#REF!</v>
      </c>
      <c r="C64" s="48" t="e">
        <f>+'[37]06-07 Allocation'!$B$25+COLA!C133+COLA!B138</f>
        <v>#REF!</v>
      </c>
      <c r="D64" s="48" t="e">
        <f>+'[37]06-07 Allocation'!$C$25+COLA!C134+COLA!B140</f>
        <v>#REF!</v>
      </c>
      <c r="E64" s="48">
        <f>+COLA!C130</f>
        <v>171060</v>
      </c>
      <c r="F64" s="48">
        <f>+COLA!C131</f>
        <v>115283</v>
      </c>
      <c r="G64" s="13" t="e">
        <f>+'[33]Resource Alloc 07-08'!$G$64</f>
        <v>#REF!</v>
      </c>
      <c r="H64" s="49" t="e">
        <f>SUM(B64:G64)</f>
        <v>#REF!</v>
      </c>
    </row>
    <row r="65" spans="1:9">
      <c r="A65" s="47" t="s">
        <v>324</v>
      </c>
      <c r="B65" s="48"/>
      <c r="C65" s="48"/>
      <c r="D65" s="48"/>
      <c r="E65" s="48">
        <f>+Foundation!D16+150000</f>
        <v>594319.52</v>
      </c>
      <c r="F65" s="48"/>
      <c r="G65" s="13"/>
      <c r="H65" s="49">
        <f>SUM(B65:G65)</f>
        <v>594319.52</v>
      </c>
    </row>
    <row r="66" spans="1:9">
      <c r="A66" s="50"/>
      <c r="B66" s="51" t="e">
        <f>SUM(B63:B65)</f>
        <v>#REF!</v>
      </c>
      <c r="C66" s="51" t="e">
        <f t="shared" ref="C66:H66" si="0">SUM(C63:C65)</f>
        <v>#REF!</v>
      </c>
      <c r="D66" s="51" t="e">
        <f t="shared" si="0"/>
        <v>#REF!</v>
      </c>
      <c r="E66" s="51">
        <f t="shared" si="0"/>
        <v>765379.52</v>
      </c>
      <c r="F66" s="51">
        <f t="shared" si="0"/>
        <v>115283</v>
      </c>
      <c r="G66" s="51" t="e">
        <f t="shared" si="0"/>
        <v>#REF!</v>
      </c>
      <c r="H66" s="52" t="e">
        <f t="shared" si="0"/>
        <v>#REF!</v>
      </c>
    </row>
    <row r="67" spans="1:9">
      <c r="A67" s="54"/>
    </row>
    <row r="69" spans="1:9">
      <c r="A69" s="6" t="s">
        <v>653</v>
      </c>
    </row>
    <row r="70" spans="1:9">
      <c r="A70" s="7" t="s">
        <v>477</v>
      </c>
    </row>
    <row r="71" spans="1:9">
      <c r="A71" s="7" t="s">
        <v>654</v>
      </c>
    </row>
    <row r="72" spans="1:9">
      <c r="A72" s="2" t="s">
        <v>655</v>
      </c>
      <c r="B72" s="29" t="e">
        <f>+H9</f>
        <v>#REF!</v>
      </c>
      <c r="D72" s="2" t="s">
        <v>643</v>
      </c>
      <c r="E72" s="55">
        <f>+Revenues!F33</f>
        <v>19846.248550662694</v>
      </c>
      <c r="F72" s="2" t="s">
        <v>656</v>
      </c>
    </row>
    <row r="73" spans="1:9">
      <c r="A73" s="2" t="s">
        <v>416</v>
      </c>
      <c r="B73" s="28">
        <f>+'SB361'!E18</f>
        <v>4050773.0331779998</v>
      </c>
      <c r="D73" s="2" t="s">
        <v>502</v>
      </c>
      <c r="E73" s="39" t="e">
        <f>+H46</f>
        <v>#REF!</v>
      </c>
      <c r="F73" s="2" t="s">
        <v>657</v>
      </c>
    </row>
    <row r="74" spans="1:9">
      <c r="A74" s="2" t="s">
        <v>652</v>
      </c>
      <c r="B74" s="28">
        <f>+'SB361'!E19</f>
        <v>0</v>
      </c>
      <c r="D74" s="2" t="s">
        <v>658</v>
      </c>
      <c r="E74" s="39" t="e">
        <f>MAX(E73-E72,0)</f>
        <v>#REF!</v>
      </c>
    </row>
    <row r="75" spans="1:9">
      <c r="A75" s="2" t="s">
        <v>659</v>
      </c>
      <c r="B75" s="28" t="e">
        <f>+'Rev-Exp Plan'!S25-SUM(B72:B74)</f>
        <v>#REF!</v>
      </c>
      <c r="D75" s="54" t="s">
        <v>478</v>
      </c>
      <c r="E75" s="56" t="e">
        <f>IF(+'Rev-Exp Plan'!S55&lt;0,'Rev-Exp Plan'!S55,0)</f>
        <v>#REF!</v>
      </c>
      <c r="F75" s="181"/>
      <c r="I75" s="4" t="s">
        <v>641</v>
      </c>
    </row>
    <row r="76" spans="1:9">
      <c r="A76" s="2" t="s">
        <v>504</v>
      </c>
      <c r="B76" s="57" t="e">
        <f>SUM(B72:B75)</f>
        <v>#REF!</v>
      </c>
    </row>
    <row r="77" spans="1:9">
      <c r="A77" s="2" t="s">
        <v>660</v>
      </c>
      <c r="B77" s="29" t="e">
        <f>+B76-B72</f>
        <v>#REF!</v>
      </c>
    </row>
    <row r="78" spans="1:9">
      <c r="A78" s="2" t="s">
        <v>479</v>
      </c>
      <c r="B78" s="29" t="e">
        <f>+'[33]Resource Alloc 07-08'!$B$78</f>
        <v>#REF!</v>
      </c>
      <c r="C78" s="29"/>
    </row>
    <row r="79" spans="1:9">
      <c r="A79" s="2" t="s">
        <v>661</v>
      </c>
      <c r="C79" s="29"/>
    </row>
    <row r="80" spans="1:9">
      <c r="A80" s="2" t="s">
        <v>662</v>
      </c>
      <c r="B80" s="29" t="e">
        <f>+H28</f>
        <v>#REF!</v>
      </c>
    </row>
    <row r="81" spans="1:8">
      <c r="A81" s="2" t="s">
        <v>663</v>
      </c>
      <c r="B81" s="29" t="e">
        <f>+H34</f>
        <v>#REF!</v>
      </c>
    </row>
    <row r="82" spans="1:8">
      <c r="A82" s="2" t="s">
        <v>664</v>
      </c>
      <c r="B82" s="29" t="e">
        <f>+H40</f>
        <v>#REF!</v>
      </c>
    </row>
    <row r="83" spans="1:8">
      <c r="A83" s="2" t="s">
        <v>665</v>
      </c>
      <c r="B83" s="29" t="e">
        <f>+H51</f>
        <v>#REF!</v>
      </c>
    </row>
    <row r="84" spans="1:8">
      <c r="A84" s="2" t="s">
        <v>666</v>
      </c>
      <c r="B84" s="29" t="e">
        <f>+H57</f>
        <v>#REF!</v>
      </c>
    </row>
    <row r="85" spans="1:8">
      <c r="A85" s="2" t="s">
        <v>667</v>
      </c>
      <c r="B85" s="29" t="e">
        <f>+H66</f>
        <v>#REF!</v>
      </c>
    </row>
    <row r="86" spans="1:8">
      <c r="B86" s="57" t="e">
        <f>SUM(B80:B85)</f>
        <v>#REF!</v>
      </c>
    </row>
    <row r="87" spans="1:8">
      <c r="A87" s="2" t="s">
        <v>668</v>
      </c>
      <c r="B87" s="29" t="e">
        <f>+B78-B86</f>
        <v>#REF!</v>
      </c>
    </row>
    <row r="88" spans="1:8">
      <c r="B88" s="29"/>
    </row>
    <row r="89" spans="1:8">
      <c r="A89" s="8"/>
      <c r="B89" s="9" t="s">
        <v>619</v>
      </c>
      <c r="C89" s="9" t="s">
        <v>620</v>
      </c>
      <c r="D89" s="9" t="s">
        <v>621</v>
      </c>
      <c r="E89" s="10" t="s">
        <v>622</v>
      </c>
      <c r="F89" s="10" t="s">
        <v>623</v>
      </c>
      <c r="G89" s="10" t="s">
        <v>624</v>
      </c>
      <c r="H89" s="11" t="s">
        <v>625</v>
      </c>
    </row>
    <row r="90" spans="1:8">
      <c r="A90" s="18" t="s">
        <v>676</v>
      </c>
      <c r="B90" s="58" t="e">
        <f>+B9</f>
        <v>#REF!</v>
      </c>
      <c r="C90" s="58" t="e">
        <f>+C9</f>
        <v>#REF!</v>
      </c>
      <c r="D90" s="58" t="e">
        <f>+D9</f>
        <v>#REF!</v>
      </c>
      <c r="E90" s="58" t="e">
        <f>+E9</f>
        <v>#REF!</v>
      </c>
      <c r="F90" s="58" t="e">
        <f>+F9</f>
        <v>#REF!</v>
      </c>
      <c r="G90" s="59" t="s">
        <v>669</v>
      </c>
      <c r="H90" s="49" t="e">
        <f>SUM(B90:G90)</f>
        <v>#REF!</v>
      </c>
    </row>
    <row r="91" spans="1:8">
      <c r="A91" s="60" t="s">
        <v>670</v>
      </c>
      <c r="B91" s="26" t="e">
        <f>+B90/$H90</f>
        <v>#REF!</v>
      </c>
      <c r="C91" s="26" t="e">
        <f>+C90/$H90</f>
        <v>#REF!</v>
      </c>
      <c r="D91" s="26" t="e">
        <f>+D90/$H90</f>
        <v>#REF!</v>
      </c>
      <c r="E91" s="26" t="e">
        <f>+E90/$H90</f>
        <v>#REF!</v>
      </c>
      <c r="F91" s="26" t="e">
        <f>+F90/$H90</f>
        <v>#REF!</v>
      </c>
      <c r="G91" s="26"/>
      <c r="H91" s="61"/>
    </row>
    <row r="92" spans="1:8">
      <c r="A92" s="62" t="s">
        <v>671</v>
      </c>
      <c r="B92" s="31" t="e">
        <f t="shared" ref="B92:G92" si="1">+B91*$B87</f>
        <v>#REF!</v>
      </c>
      <c r="C92" s="31" t="e">
        <f t="shared" si="1"/>
        <v>#REF!</v>
      </c>
      <c r="D92" s="31" t="e">
        <f t="shared" si="1"/>
        <v>#REF!</v>
      </c>
      <c r="E92" s="31" t="e">
        <f t="shared" si="1"/>
        <v>#REF!</v>
      </c>
      <c r="F92" s="31" t="e">
        <f t="shared" si="1"/>
        <v>#REF!</v>
      </c>
      <c r="G92" s="31" t="e">
        <f t="shared" si="1"/>
        <v>#REF!</v>
      </c>
      <c r="H92" s="32" t="e">
        <f>SUM(B92:G92)</f>
        <v>#REF!</v>
      </c>
    </row>
    <row r="93" spans="1:8">
      <c r="A93" s="25"/>
      <c r="B93" s="28"/>
      <c r="C93" s="28"/>
      <c r="D93" s="28"/>
      <c r="E93" s="28"/>
      <c r="F93" s="28"/>
      <c r="G93" s="28"/>
      <c r="H93" s="29"/>
    </row>
    <row r="95" spans="1:8">
      <c r="A95" s="2" t="s">
        <v>672</v>
      </c>
    </row>
    <row r="96" spans="1:8">
      <c r="A96" s="7" t="s">
        <v>505</v>
      </c>
    </row>
    <row r="97" spans="1:8">
      <c r="A97" s="8"/>
      <c r="B97" s="9" t="s">
        <v>619</v>
      </c>
      <c r="C97" s="9" t="s">
        <v>620</v>
      </c>
      <c r="D97" s="9" t="s">
        <v>621</v>
      </c>
      <c r="E97" s="10" t="s">
        <v>622</v>
      </c>
      <c r="F97" s="10" t="s">
        <v>623</v>
      </c>
      <c r="G97" s="10" t="s">
        <v>624</v>
      </c>
      <c r="H97" s="11" t="s">
        <v>625</v>
      </c>
    </row>
    <row r="98" spans="1:8">
      <c r="A98" s="18" t="s">
        <v>676</v>
      </c>
      <c r="B98" s="13" t="e">
        <f t="shared" ref="B98:G98" si="2">+B9</f>
        <v>#REF!</v>
      </c>
      <c r="C98" s="13" t="e">
        <f t="shared" si="2"/>
        <v>#REF!</v>
      </c>
      <c r="D98" s="13" t="e">
        <f t="shared" si="2"/>
        <v>#REF!</v>
      </c>
      <c r="E98" s="13" t="e">
        <f t="shared" si="2"/>
        <v>#REF!</v>
      </c>
      <c r="F98" s="13" t="e">
        <f t="shared" si="2"/>
        <v>#REF!</v>
      </c>
      <c r="G98" s="13" t="e">
        <f t="shared" si="2"/>
        <v>#REF!</v>
      </c>
      <c r="H98" s="14" t="e">
        <f t="shared" ref="H98:H105" si="3">SUM(B98:G98)</f>
        <v>#REF!</v>
      </c>
    </row>
    <row r="99" spans="1:8">
      <c r="A99" s="18" t="s">
        <v>662</v>
      </c>
      <c r="B99" s="58" t="e">
        <f t="shared" ref="B99:G99" si="4">+B28</f>
        <v>#REF!</v>
      </c>
      <c r="C99" s="58" t="e">
        <f t="shared" si="4"/>
        <v>#REF!</v>
      </c>
      <c r="D99" s="58" t="e">
        <f t="shared" si="4"/>
        <v>#REF!</v>
      </c>
      <c r="E99" s="58">
        <f t="shared" si="4"/>
        <v>0</v>
      </c>
      <c r="F99" s="58">
        <f t="shared" si="4"/>
        <v>0</v>
      </c>
      <c r="G99" s="58">
        <f t="shared" si="4"/>
        <v>0</v>
      </c>
      <c r="H99" s="49" t="e">
        <f t="shared" si="3"/>
        <v>#REF!</v>
      </c>
    </row>
    <row r="100" spans="1:8">
      <c r="A100" s="18" t="s">
        <v>673</v>
      </c>
      <c r="B100" s="13">
        <f t="shared" ref="B100:G100" si="5">+B34</f>
        <v>0</v>
      </c>
      <c r="C100" s="13">
        <f t="shared" si="5"/>
        <v>0</v>
      </c>
      <c r="D100" s="13">
        <f t="shared" si="5"/>
        <v>0</v>
      </c>
      <c r="E100" s="13">
        <f t="shared" si="5"/>
        <v>0</v>
      </c>
      <c r="F100" s="13">
        <f t="shared" si="5"/>
        <v>0</v>
      </c>
      <c r="G100" s="13" t="e">
        <f t="shared" si="5"/>
        <v>#REF!</v>
      </c>
      <c r="H100" s="49" t="e">
        <f t="shared" si="3"/>
        <v>#REF!</v>
      </c>
    </row>
    <row r="101" spans="1:8">
      <c r="A101" s="18" t="s">
        <v>664</v>
      </c>
      <c r="B101" s="13">
        <f t="shared" ref="B101:G101" si="6">+B40</f>
        <v>0</v>
      </c>
      <c r="C101" s="13">
        <f t="shared" si="6"/>
        <v>0</v>
      </c>
      <c r="D101" s="13">
        <f t="shared" si="6"/>
        <v>0</v>
      </c>
      <c r="E101" s="13">
        <f t="shared" si="6"/>
        <v>0</v>
      </c>
      <c r="F101" s="13" t="e">
        <f t="shared" si="6"/>
        <v>#REF!</v>
      </c>
      <c r="G101" s="13">
        <f t="shared" si="6"/>
        <v>0</v>
      </c>
      <c r="H101" s="49" t="e">
        <f t="shared" si="3"/>
        <v>#REF!</v>
      </c>
    </row>
    <row r="102" spans="1:8">
      <c r="A102" s="18" t="s">
        <v>665</v>
      </c>
      <c r="B102" s="58" t="e">
        <f t="shared" ref="B102:G102" si="7">+B51</f>
        <v>#REF!</v>
      </c>
      <c r="C102" s="58" t="e">
        <f t="shared" si="7"/>
        <v>#REF!</v>
      </c>
      <c r="D102" s="58" t="e">
        <f t="shared" si="7"/>
        <v>#REF!</v>
      </c>
      <c r="E102" s="58">
        <f t="shared" si="7"/>
        <v>0</v>
      </c>
      <c r="F102" s="58">
        <f t="shared" si="7"/>
        <v>0</v>
      </c>
      <c r="G102" s="58">
        <f t="shared" si="7"/>
        <v>0</v>
      </c>
      <c r="H102" s="49" t="e">
        <f t="shared" si="3"/>
        <v>#REF!</v>
      </c>
    </row>
    <row r="103" spans="1:8">
      <c r="A103" s="18" t="s">
        <v>666</v>
      </c>
      <c r="B103" s="13">
        <f t="shared" ref="B103:G103" si="8">+B57</f>
        <v>0</v>
      </c>
      <c r="C103" s="13">
        <f t="shared" si="8"/>
        <v>0</v>
      </c>
      <c r="D103" s="13">
        <f t="shared" si="8"/>
        <v>0</v>
      </c>
      <c r="E103" s="13" t="e">
        <f t="shared" si="8"/>
        <v>#REF!</v>
      </c>
      <c r="F103" s="13" t="e">
        <f t="shared" si="8"/>
        <v>#REF!</v>
      </c>
      <c r="G103" s="13">
        <f t="shared" si="8"/>
        <v>0</v>
      </c>
      <c r="H103" s="49" t="e">
        <f t="shared" si="3"/>
        <v>#REF!</v>
      </c>
    </row>
    <row r="104" spans="1:8">
      <c r="A104" s="18" t="s">
        <v>667</v>
      </c>
      <c r="B104" s="13" t="e">
        <f t="shared" ref="B104:G104" si="9">+B66</f>
        <v>#REF!</v>
      </c>
      <c r="C104" s="13" t="e">
        <f t="shared" si="9"/>
        <v>#REF!</v>
      </c>
      <c r="D104" s="13" t="e">
        <f t="shared" si="9"/>
        <v>#REF!</v>
      </c>
      <c r="E104" s="13">
        <f t="shared" si="9"/>
        <v>765379.52</v>
      </c>
      <c r="F104" s="13">
        <f t="shared" si="9"/>
        <v>115283</v>
      </c>
      <c r="G104" s="13" t="e">
        <f t="shared" si="9"/>
        <v>#REF!</v>
      </c>
      <c r="H104" s="49" t="e">
        <f t="shared" si="3"/>
        <v>#REF!</v>
      </c>
    </row>
    <row r="105" spans="1:8">
      <c r="A105" s="18" t="s">
        <v>674</v>
      </c>
      <c r="B105" s="63" t="e">
        <f t="shared" ref="B105:G105" si="10">+B92</f>
        <v>#REF!</v>
      </c>
      <c r="C105" s="63" t="e">
        <f t="shared" si="10"/>
        <v>#REF!</v>
      </c>
      <c r="D105" s="63" t="e">
        <f t="shared" si="10"/>
        <v>#REF!</v>
      </c>
      <c r="E105" s="63" t="e">
        <f t="shared" si="10"/>
        <v>#REF!</v>
      </c>
      <c r="F105" s="63" t="e">
        <f t="shared" si="10"/>
        <v>#REF!</v>
      </c>
      <c r="G105" s="63" t="e">
        <f t="shared" si="10"/>
        <v>#REF!</v>
      </c>
      <c r="H105" s="32" t="e">
        <f t="shared" si="3"/>
        <v>#REF!</v>
      </c>
    </row>
    <row r="106" spans="1:8">
      <c r="A106" s="18" t="s">
        <v>675</v>
      </c>
      <c r="B106" s="63" t="e">
        <f t="shared" ref="B106:H106" si="11">SUM(B99:B105)</f>
        <v>#REF!</v>
      </c>
      <c r="C106" s="63" t="e">
        <f t="shared" si="11"/>
        <v>#REF!</v>
      </c>
      <c r="D106" s="63" t="e">
        <f t="shared" si="11"/>
        <v>#REF!</v>
      </c>
      <c r="E106" s="63" t="e">
        <f t="shared" si="11"/>
        <v>#REF!</v>
      </c>
      <c r="F106" s="63" t="e">
        <f t="shared" si="11"/>
        <v>#REF!</v>
      </c>
      <c r="G106" s="63" t="e">
        <f t="shared" si="11"/>
        <v>#REF!</v>
      </c>
      <c r="H106" s="32" t="e">
        <f t="shared" si="11"/>
        <v>#REF!</v>
      </c>
    </row>
    <row r="107" spans="1:8">
      <c r="A107" s="8"/>
      <c r="B107" s="9" t="s">
        <v>619</v>
      </c>
      <c r="C107" s="9" t="s">
        <v>620</v>
      </c>
      <c r="D107" s="9" t="s">
        <v>621</v>
      </c>
      <c r="E107" s="10" t="s">
        <v>622</v>
      </c>
      <c r="F107" s="10" t="s">
        <v>623</v>
      </c>
      <c r="G107" s="10" t="s">
        <v>624</v>
      </c>
      <c r="H107" s="11" t="s">
        <v>625</v>
      </c>
    </row>
    <row r="108" spans="1:8">
      <c r="A108" s="12" t="s">
        <v>508</v>
      </c>
      <c r="B108" s="64" t="e">
        <f>+B106+B98</f>
        <v>#REF!</v>
      </c>
      <c r="C108" s="64" t="e">
        <f>+C106+C98</f>
        <v>#REF!</v>
      </c>
      <c r="D108" s="64" t="e">
        <f>+D106+D98</f>
        <v>#REF!</v>
      </c>
      <c r="E108" s="64" t="e">
        <f>+E106+E98</f>
        <v>#REF!</v>
      </c>
      <c r="F108" s="64" t="e">
        <f>+F106+F98</f>
        <v>#REF!</v>
      </c>
      <c r="G108" s="64" t="e">
        <f>+G106+G98-0.5</f>
        <v>#REF!</v>
      </c>
      <c r="H108" s="53" t="e">
        <f>+H106+H98</f>
        <v>#REF!</v>
      </c>
    </row>
    <row r="110" spans="1:8">
      <c r="A110" s="20"/>
      <c r="B110" s="13" t="e">
        <f>+'Resource Alloc 11-12'!B109</f>
        <v>#REF!</v>
      </c>
      <c r="C110" s="13" t="e">
        <f>+'Resource Alloc 11-12'!C109</f>
        <v>#REF!</v>
      </c>
      <c r="D110" s="13" t="e">
        <f>+'Resource Alloc 11-12'!D109</f>
        <v>#REF!</v>
      </c>
      <c r="E110" s="65"/>
      <c r="F110" s="65"/>
      <c r="G110" s="65"/>
      <c r="H110" s="20"/>
    </row>
    <row r="111" spans="1:8">
      <c r="A111" s="20"/>
      <c r="B111" s="65" t="e">
        <f>+B110/B108-1</f>
        <v>#REF!</v>
      </c>
      <c r="C111" s="65" t="e">
        <f>+C110/C108-1</f>
        <v>#REF!</v>
      </c>
      <c r="D111" s="65" t="e">
        <f>+D110/D108-1</f>
        <v>#REF!</v>
      </c>
      <c r="E111" s="65"/>
      <c r="F111" s="65"/>
      <c r="G111" s="65"/>
      <c r="H111" s="58"/>
    </row>
    <row r="112" spans="1:8">
      <c r="F112" s="20"/>
      <c r="G112" s="20"/>
      <c r="H112" s="29"/>
    </row>
    <row r="113" spans="1:9">
      <c r="F113" s="20"/>
      <c r="G113" s="58"/>
      <c r="H113" s="29"/>
    </row>
    <row r="114" spans="1:9">
      <c r="A114" s="66" t="s">
        <v>677</v>
      </c>
      <c r="C114" s="67">
        <f>+'Sq Ft'!C55</f>
        <v>1375700</v>
      </c>
      <c r="F114" s="20"/>
      <c r="G114" s="58"/>
      <c r="I114" s="4" t="s">
        <v>678</v>
      </c>
    </row>
    <row r="115" spans="1:9">
      <c r="A115" s="2" t="s">
        <v>679</v>
      </c>
      <c r="C115" s="68" t="e">
        <f>+'[35]Resource Alloc'!$C$121*(1.0592)</f>
        <v>#REF!</v>
      </c>
      <c r="F115" s="20"/>
      <c r="G115" s="58"/>
    </row>
    <row r="116" spans="1:9">
      <c r="A116" s="2" t="s">
        <v>680</v>
      </c>
      <c r="C116" s="69" t="e">
        <f>+F9/SUM($B9:$D9)/2</f>
        <v>#REF!</v>
      </c>
      <c r="H116" s="29"/>
    </row>
    <row r="117" spans="1:9">
      <c r="A117" s="2" t="s">
        <v>681</v>
      </c>
      <c r="C117" s="69" t="e">
        <f>+E9/SUM($B9:$D9)</f>
        <v>#REF!</v>
      </c>
    </row>
    <row r="119" spans="1:9">
      <c r="A119" s="2" t="s">
        <v>682</v>
      </c>
    </row>
    <row r="120" spans="1:9">
      <c r="A120" s="2" t="s">
        <v>506</v>
      </c>
    </row>
    <row r="121" spans="1:9">
      <c r="A121" s="2" t="s">
        <v>507</v>
      </c>
    </row>
    <row r="122" spans="1:9">
      <c r="A122" s="2" t="s">
        <v>683</v>
      </c>
    </row>
    <row r="123" spans="1:9">
      <c r="A123" s="2" t="s">
        <v>517</v>
      </c>
    </row>
    <row r="124" spans="1:9">
      <c r="A124" s="2" t="s">
        <v>518</v>
      </c>
    </row>
  </sheetData>
  <phoneticPr fontId="12" type="noConversion"/>
  <pageMargins left="0.75" right="0.75" top="1" bottom="1" header="0.5" footer="0.5"/>
  <headerFooter alignWithMargins="0">
    <oddHeader xml:space="preserve">&amp;CResource Allocation
 07/08 Adopted Budget </oddHeader>
  </headerFooter>
  <rowBreaks count="3" manualBreakCount="3">
    <brk id="36" max="8" man="1"/>
    <brk id="68" max="8" man="1"/>
    <brk id="94" max="8" man="1"/>
  </rowBreaks>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X215"/>
  <sheetViews>
    <sheetView workbookViewId="0">
      <selection activeCell="I77" sqref="I77"/>
    </sheetView>
  </sheetViews>
  <sheetFormatPr defaultColWidth="9.28515625" defaultRowHeight="12.75"/>
  <cols>
    <col min="1" max="1" width="17.42578125" style="384" customWidth="1"/>
    <col min="2" max="6" width="9.28515625" style="384"/>
    <col min="7" max="7" width="13.42578125" style="368" bestFit="1" customWidth="1"/>
    <col min="8" max="8" width="3.7109375" style="384" customWidth="1"/>
    <col min="9" max="9" width="12.42578125" style="502" bestFit="1" customWidth="1"/>
    <col min="10" max="10" width="18.85546875" style="502" bestFit="1" customWidth="1"/>
    <col min="11" max="11" width="7.42578125" style="503" bestFit="1" customWidth="1"/>
    <col min="12" max="12" width="7.42578125" style="502" bestFit="1" customWidth="1"/>
    <col min="13" max="16384" width="9.28515625" style="384"/>
  </cols>
  <sheetData>
    <row r="1" spans="1:12">
      <c r="A1" s="149" t="s">
        <v>814</v>
      </c>
    </row>
    <row r="2" spans="1:12">
      <c r="A2" s="1258">
        <v>43315.519823495371</v>
      </c>
    </row>
    <row r="3" spans="1:12" ht="38.25" customHeight="1">
      <c r="A3" s="2054" t="s">
        <v>815</v>
      </c>
      <c r="B3" s="2054"/>
      <c r="C3" s="2054"/>
      <c r="D3" s="2054"/>
      <c r="E3" s="2054"/>
      <c r="F3" s="2054"/>
      <c r="G3" s="2054"/>
    </row>
    <row r="5" spans="1:12">
      <c r="A5" s="149" t="s">
        <v>510</v>
      </c>
    </row>
    <row r="6" spans="1:12">
      <c r="A6" s="384" t="s">
        <v>511</v>
      </c>
      <c r="I6" s="502" t="s">
        <v>327</v>
      </c>
      <c r="J6" s="502" t="s">
        <v>621</v>
      </c>
      <c r="K6" s="502" t="s">
        <v>428</v>
      </c>
      <c r="L6" s="503" t="s">
        <v>429</v>
      </c>
    </row>
    <row r="7" spans="1:12">
      <c r="A7" s="384" t="s">
        <v>292</v>
      </c>
      <c r="I7" s="500">
        <v>0.1900846838422808</v>
      </c>
      <c r="J7" s="501">
        <v>8.9891403838965156E-2</v>
      </c>
      <c r="K7" s="501">
        <v>0.21901003224987553</v>
      </c>
      <c r="L7" s="1259">
        <v>0.30149609319963555</v>
      </c>
    </row>
    <row r="8" spans="1:12">
      <c r="A8" s="384" t="s">
        <v>354</v>
      </c>
      <c r="I8" s="500">
        <v>4.53E-2</v>
      </c>
      <c r="K8" s="502"/>
      <c r="L8" s="503"/>
    </row>
    <row r="9" spans="1:12">
      <c r="A9" s="384" t="s">
        <v>355</v>
      </c>
      <c r="I9" s="500">
        <v>4.53E-2</v>
      </c>
      <c r="K9" s="502"/>
      <c r="L9" s="503"/>
    </row>
    <row r="10" spans="1:12">
      <c r="A10" s="384" t="s">
        <v>514</v>
      </c>
      <c r="K10" s="502"/>
      <c r="L10" s="503"/>
    </row>
    <row r="11" spans="1:12">
      <c r="A11" s="384" t="s">
        <v>400</v>
      </c>
      <c r="I11" s="502" t="s">
        <v>341</v>
      </c>
      <c r="J11" s="502" t="s">
        <v>330</v>
      </c>
      <c r="K11" s="502" t="s">
        <v>331</v>
      </c>
      <c r="L11" s="503"/>
    </row>
    <row r="12" spans="1:12">
      <c r="A12" s="384" t="s">
        <v>356</v>
      </c>
      <c r="I12" s="500">
        <v>3.5000000000000003E-2</v>
      </c>
      <c r="J12" s="1260">
        <v>3.5299999999999998E-2</v>
      </c>
      <c r="K12" s="500">
        <v>3.5000000000000003E-2</v>
      </c>
      <c r="L12" s="503"/>
    </row>
    <row r="13" spans="1:12">
      <c r="A13" s="384" t="s">
        <v>512</v>
      </c>
    </row>
    <row r="15" spans="1:12">
      <c r="A15" s="149" t="s">
        <v>411</v>
      </c>
    </row>
    <row r="16" spans="1:12">
      <c r="A16" s="384" t="s">
        <v>511</v>
      </c>
      <c r="I16" s="502" t="s">
        <v>327</v>
      </c>
      <c r="J16" s="502" t="s">
        <v>621</v>
      </c>
      <c r="K16" s="502" t="s">
        <v>428</v>
      </c>
      <c r="L16" s="503" t="s">
        <v>429</v>
      </c>
    </row>
    <row r="17" spans="1:12" ht="13.5" customHeight="1">
      <c r="A17" s="384" t="s">
        <v>228</v>
      </c>
      <c r="I17" s="500">
        <v>-5.7080427539726003E-2</v>
      </c>
      <c r="J17" s="501">
        <v>0.02</v>
      </c>
      <c r="K17" s="501">
        <v>0.04</v>
      </c>
      <c r="L17" s="501">
        <v>0.09</v>
      </c>
    </row>
    <row r="18" spans="1:12" ht="13.5" customHeight="1">
      <c r="A18" s="384" t="s">
        <v>293</v>
      </c>
      <c r="I18" s="500"/>
      <c r="J18" s="501">
        <v>-0.10205743623119168</v>
      </c>
      <c r="K18" s="501">
        <v>0.41044349070100128</v>
      </c>
      <c r="L18" s="501">
        <v>0</v>
      </c>
    </row>
    <row r="19" spans="1:12">
      <c r="A19" s="384" t="s">
        <v>226</v>
      </c>
      <c r="I19" s="500">
        <v>0</v>
      </c>
    </row>
    <row r="20" spans="1:12">
      <c r="A20" s="384" t="s">
        <v>227</v>
      </c>
      <c r="I20" s="500">
        <v>1.15E-2</v>
      </c>
    </row>
    <row r="21" spans="1:12">
      <c r="A21" s="384" t="s">
        <v>294</v>
      </c>
      <c r="I21" s="500">
        <v>0.02</v>
      </c>
    </row>
    <row r="22" spans="1:12">
      <c r="A22" s="384" t="s">
        <v>223</v>
      </c>
      <c r="I22" s="500">
        <v>5.6599999999999998E-2</v>
      </c>
    </row>
    <row r="23" spans="1:12">
      <c r="A23" s="384" t="s">
        <v>298</v>
      </c>
    </row>
    <row r="24" spans="1:12">
      <c r="A24" s="384" t="s">
        <v>295</v>
      </c>
      <c r="I24" s="502" t="s">
        <v>341</v>
      </c>
      <c r="J24" s="502" t="s">
        <v>301</v>
      </c>
      <c r="K24" s="503" t="s">
        <v>302</v>
      </c>
      <c r="L24" s="503" t="s">
        <v>331</v>
      </c>
    </row>
    <row r="25" spans="1:12">
      <c r="A25" s="384" t="s">
        <v>229</v>
      </c>
      <c r="I25" s="1261">
        <v>0.03</v>
      </c>
      <c r="J25" s="500">
        <v>0</v>
      </c>
      <c r="K25" s="1262">
        <v>0</v>
      </c>
      <c r="L25" s="500">
        <v>0</v>
      </c>
    </row>
    <row r="26" spans="1:12">
      <c r="A26" s="384" t="s">
        <v>204</v>
      </c>
    </row>
    <row r="27" spans="1:12">
      <c r="A27" s="384" t="s">
        <v>296</v>
      </c>
    </row>
    <row r="28" spans="1:12">
      <c r="A28" s="384" t="s">
        <v>297</v>
      </c>
      <c r="I28" s="1263">
        <v>383242</v>
      </c>
    </row>
    <row r="29" spans="1:12">
      <c r="A29" s="384" t="s">
        <v>224</v>
      </c>
      <c r="I29" s="1263"/>
    </row>
    <row r="31" spans="1:12">
      <c r="A31" s="149" t="s">
        <v>419</v>
      </c>
    </row>
    <row r="32" spans="1:12">
      <c r="A32" s="384" t="s">
        <v>511</v>
      </c>
      <c r="I32" s="502" t="s">
        <v>327</v>
      </c>
      <c r="J32" s="502" t="s">
        <v>621</v>
      </c>
      <c r="K32" s="502" t="s">
        <v>428</v>
      </c>
      <c r="L32" s="503" t="s">
        <v>429</v>
      </c>
    </row>
    <row r="33" spans="1:12">
      <c r="A33" s="384" t="s">
        <v>161</v>
      </c>
      <c r="I33" s="500">
        <v>-5.3720834192827666E-2</v>
      </c>
      <c r="J33" s="500">
        <v>-6.0097849893314681E-4</v>
      </c>
      <c r="K33" s="500">
        <v>-6.0097849893314681E-4</v>
      </c>
      <c r="L33" s="500">
        <v>-6.0097849893314681E-4</v>
      </c>
    </row>
    <row r="34" spans="1:12" ht="13.5" customHeight="1">
      <c r="A34" s="384" t="s">
        <v>73</v>
      </c>
      <c r="I34" s="500"/>
      <c r="J34" s="501">
        <v>-1.6464146297247684E-2</v>
      </c>
      <c r="K34" s="501">
        <v>0.22024320457796831</v>
      </c>
      <c r="L34" s="501">
        <v>1.3585365036845154E-2</v>
      </c>
    </row>
    <row r="35" spans="1:12">
      <c r="A35" s="384" t="s">
        <v>230</v>
      </c>
      <c r="I35" s="500">
        <v>0</v>
      </c>
    </row>
    <row r="36" spans="1:12">
      <c r="A36" s="384" t="s">
        <v>165</v>
      </c>
      <c r="G36" s="368" t="s">
        <v>540</v>
      </c>
      <c r="I36" s="500">
        <v>0</v>
      </c>
    </row>
    <row r="37" spans="1:12">
      <c r="A37" s="384" t="s">
        <v>294</v>
      </c>
      <c r="I37" s="500">
        <v>2.5000000000000001E-2</v>
      </c>
    </row>
    <row r="38" spans="1:12">
      <c r="A38" s="384" t="s">
        <v>156</v>
      </c>
      <c r="I38" s="500">
        <v>8.0000000000000002E-3</v>
      </c>
    </row>
    <row r="39" spans="1:12">
      <c r="A39" s="384" t="s">
        <v>181</v>
      </c>
    </row>
    <row r="40" spans="1:12">
      <c r="A40" s="384" t="s">
        <v>295</v>
      </c>
      <c r="I40" s="502" t="s">
        <v>341</v>
      </c>
      <c r="J40" s="502" t="s">
        <v>301</v>
      </c>
      <c r="K40" s="503" t="s">
        <v>302</v>
      </c>
      <c r="L40" s="503" t="s">
        <v>331</v>
      </c>
    </row>
    <row r="41" spans="1:12">
      <c r="A41" s="384" t="s">
        <v>145</v>
      </c>
      <c r="I41" s="500">
        <v>0</v>
      </c>
      <c r="J41" s="500">
        <v>0</v>
      </c>
      <c r="K41" s="504">
        <v>0.04</v>
      </c>
      <c r="L41" s="500">
        <v>0</v>
      </c>
    </row>
    <row r="42" spans="1:12">
      <c r="A42" s="384" t="s">
        <v>146</v>
      </c>
    </row>
    <row r="43" spans="1:12">
      <c r="A43" s="384" t="s">
        <v>147</v>
      </c>
    </row>
    <row r="44" spans="1:12">
      <c r="A44" s="384" t="s">
        <v>130</v>
      </c>
      <c r="I44" s="1264">
        <v>4800000</v>
      </c>
    </row>
    <row r="45" spans="1:12">
      <c r="A45" s="384" t="s">
        <v>179</v>
      </c>
      <c r="I45" s="1162">
        <v>1.1700000000000002</v>
      </c>
    </row>
    <row r="47" spans="1:12">
      <c r="A47" s="149" t="s">
        <v>332</v>
      </c>
    </row>
    <row r="48" spans="1:12">
      <c r="A48" s="384" t="s">
        <v>511</v>
      </c>
      <c r="I48" s="502" t="s">
        <v>327</v>
      </c>
      <c r="J48" s="502" t="s">
        <v>621</v>
      </c>
      <c r="K48" s="502" t="s">
        <v>428</v>
      </c>
      <c r="L48" s="503" t="s">
        <v>429</v>
      </c>
    </row>
    <row r="49" spans="1:12">
      <c r="A49" s="384" t="s">
        <v>116</v>
      </c>
      <c r="I49" s="500">
        <v>9.839271145928993E-3</v>
      </c>
      <c r="J49" s="541">
        <v>-1.1442574994501853E-2</v>
      </c>
      <c r="K49" s="541">
        <v>-1.1442574994501853E-2</v>
      </c>
      <c r="L49" s="541">
        <v>-1.1442574994501853E-2</v>
      </c>
    </row>
    <row r="50" spans="1:12" ht="13.5" customHeight="1">
      <c r="A50" s="384" t="s">
        <v>131</v>
      </c>
      <c r="I50" s="500"/>
      <c r="J50" s="542">
        <v>-2.5685105907916617E-3</v>
      </c>
      <c r="K50" s="542">
        <v>-6.1872400852013454E-2</v>
      </c>
      <c r="L50" s="542">
        <v>0.14460149821884194</v>
      </c>
    </row>
    <row r="51" spans="1:12">
      <c r="A51" s="384" t="s">
        <v>230</v>
      </c>
      <c r="I51" s="500">
        <v>0</v>
      </c>
    </row>
    <row r="52" spans="1:12">
      <c r="A52" s="384" t="s">
        <v>6</v>
      </c>
      <c r="I52" s="500">
        <v>2.2100000000000002E-2</v>
      </c>
    </row>
    <row r="53" spans="1:12">
      <c r="A53" s="384" t="s">
        <v>294</v>
      </c>
      <c r="I53" s="500">
        <v>0.03</v>
      </c>
    </row>
    <row r="54" spans="1:12">
      <c r="A54" s="384" t="s">
        <v>157</v>
      </c>
      <c r="I54" s="500">
        <v>1.9E-2</v>
      </c>
    </row>
    <row r="55" spans="1:12">
      <c r="A55" s="561" t="s">
        <v>684</v>
      </c>
    </row>
    <row r="56" spans="1:12">
      <c r="A56" s="384" t="s">
        <v>295</v>
      </c>
      <c r="I56" s="502" t="s">
        <v>341</v>
      </c>
      <c r="J56" s="502" t="s">
        <v>330</v>
      </c>
      <c r="K56" s="503" t="s">
        <v>331</v>
      </c>
    </row>
    <row r="57" spans="1:12">
      <c r="A57" s="384" t="s">
        <v>881</v>
      </c>
      <c r="I57" s="500">
        <v>0</v>
      </c>
      <c r="J57" s="500">
        <v>0</v>
      </c>
      <c r="K57" s="500">
        <v>0</v>
      </c>
    </row>
    <row r="58" spans="1:12">
      <c r="A58" s="384" t="s">
        <v>146</v>
      </c>
    </row>
    <row r="59" spans="1:12">
      <c r="A59" s="384" t="s">
        <v>74</v>
      </c>
      <c r="I59" s="1162">
        <v>1.1076923076923071</v>
      </c>
    </row>
    <row r="61" spans="1:12">
      <c r="A61" s="149" t="s">
        <v>280</v>
      </c>
    </row>
    <row r="62" spans="1:12">
      <c r="A62" s="384" t="s">
        <v>511</v>
      </c>
      <c r="I62" s="502" t="s">
        <v>327</v>
      </c>
      <c r="J62" s="502" t="s">
        <v>621</v>
      </c>
      <c r="K62" s="502" t="s">
        <v>428</v>
      </c>
      <c r="L62" s="503" t="s">
        <v>429</v>
      </c>
    </row>
    <row r="63" spans="1:12">
      <c r="A63" s="475" t="s">
        <v>690</v>
      </c>
      <c r="I63" s="500">
        <v>-6.0169683250737981E-2</v>
      </c>
      <c r="J63" s="500">
        <v>2.2195940861321857E-3</v>
      </c>
      <c r="K63" s="500">
        <v>2.2195940861321857E-3</v>
      </c>
      <c r="L63" s="500">
        <v>2.2195940861321857E-3</v>
      </c>
    </row>
    <row r="64" spans="1:12">
      <c r="A64" s="384" t="s">
        <v>17</v>
      </c>
      <c r="I64" s="500"/>
      <c r="J64" s="501">
        <v>4.3023758894148778E-2</v>
      </c>
      <c r="K64" s="501">
        <v>0</v>
      </c>
      <c r="L64" s="501">
        <v>2.5139764969849709E-2</v>
      </c>
    </row>
    <row r="65" spans="1:12">
      <c r="A65" s="384" t="s">
        <v>122</v>
      </c>
      <c r="I65" s="500">
        <v>0</v>
      </c>
    </row>
    <row r="66" spans="1:12">
      <c r="A66" s="561" t="s">
        <v>689</v>
      </c>
      <c r="I66" s="500">
        <v>-7.4999999999999997E-2</v>
      </c>
    </row>
    <row r="67" spans="1:12">
      <c r="A67" s="384" t="s">
        <v>294</v>
      </c>
      <c r="I67" s="500">
        <v>2.5000000000000001E-2</v>
      </c>
    </row>
    <row r="68" spans="1:12">
      <c r="A68" s="384" t="s">
        <v>12</v>
      </c>
      <c r="I68" s="500">
        <v>1.7999999999999999E-2</v>
      </c>
    </row>
    <row r="69" spans="1:12">
      <c r="A69" s="561" t="s">
        <v>684</v>
      </c>
    </row>
    <row r="70" spans="1:12">
      <c r="A70" s="384" t="s">
        <v>295</v>
      </c>
      <c r="I70" s="502" t="s">
        <v>341</v>
      </c>
      <c r="J70" s="502" t="s">
        <v>330</v>
      </c>
      <c r="K70" s="503" t="s">
        <v>331</v>
      </c>
    </row>
    <row r="71" spans="1:12">
      <c r="A71" s="384" t="s">
        <v>881</v>
      </c>
      <c r="I71" s="500">
        <v>0</v>
      </c>
      <c r="J71" s="500">
        <v>0</v>
      </c>
      <c r="K71" s="500">
        <v>0</v>
      </c>
    </row>
    <row r="72" spans="1:12">
      <c r="A72" s="384" t="s">
        <v>146</v>
      </c>
    </row>
    <row r="73" spans="1:12">
      <c r="A73" s="475" t="s">
        <v>712</v>
      </c>
      <c r="I73" s="1162">
        <v>1.1343076923076922</v>
      </c>
    </row>
    <row r="75" spans="1:12">
      <c r="A75" s="149" t="s">
        <v>231</v>
      </c>
    </row>
    <row r="76" spans="1:12">
      <c r="A76" s="384" t="s">
        <v>511</v>
      </c>
      <c r="I76" s="502" t="s">
        <v>327</v>
      </c>
      <c r="J76" s="502" t="s">
        <v>621</v>
      </c>
      <c r="K76" s="502" t="s">
        <v>428</v>
      </c>
      <c r="L76" s="503" t="s">
        <v>429</v>
      </c>
    </row>
    <row r="77" spans="1:12">
      <c r="A77" s="384" t="s">
        <v>232</v>
      </c>
      <c r="I77" s="500">
        <v>1.1881899964051704E-2</v>
      </c>
      <c r="J77" s="500">
        <v>-6.1559999999999997E-2</v>
      </c>
      <c r="K77" s="500">
        <v>-6.1559999999999997E-2</v>
      </c>
      <c r="L77" s="500">
        <v>-6.1559999999999997E-2</v>
      </c>
    </row>
    <row r="78" spans="1:12">
      <c r="A78" s="384" t="s">
        <v>923</v>
      </c>
      <c r="I78" s="500"/>
      <c r="J78" s="501">
        <v>0</v>
      </c>
      <c r="K78" s="501">
        <v>0</v>
      </c>
      <c r="L78" s="501">
        <v>0</v>
      </c>
    </row>
    <row r="79" spans="1:12">
      <c r="A79" s="384" t="s">
        <v>122</v>
      </c>
      <c r="I79" s="500">
        <v>0</v>
      </c>
    </row>
    <row r="80" spans="1:12">
      <c r="A80" s="384" t="s">
        <v>689</v>
      </c>
      <c r="I80" s="500">
        <v>-6.1559999999999997E-2</v>
      </c>
    </row>
    <row r="81" spans="1:12">
      <c r="A81" s="384" t="s">
        <v>913</v>
      </c>
      <c r="I81" s="500">
        <v>0</v>
      </c>
    </row>
    <row r="82" spans="1:12">
      <c r="A82" s="384" t="s">
        <v>893</v>
      </c>
      <c r="I82" s="500">
        <v>2.5000000000000001E-2</v>
      </c>
    </row>
    <row r="83" spans="1:12">
      <c r="A83" s="384" t="s">
        <v>821</v>
      </c>
    </row>
    <row r="84" spans="1:12">
      <c r="A84" s="384" t="s">
        <v>295</v>
      </c>
      <c r="I84" s="502" t="s">
        <v>341</v>
      </c>
      <c r="J84" s="502" t="s">
        <v>330</v>
      </c>
      <c r="K84" s="503" t="s">
        <v>331</v>
      </c>
    </row>
    <row r="85" spans="1:12">
      <c r="A85" s="384" t="s">
        <v>911</v>
      </c>
      <c r="I85" s="500">
        <v>2.8000000000000001E-2</v>
      </c>
      <c r="J85" s="500">
        <v>2.8000000000000001E-2</v>
      </c>
      <c r="K85" s="500">
        <v>2.8000000000000001E-2</v>
      </c>
    </row>
    <row r="86" spans="1:12">
      <c r="A86" s="384" t="s">
        <v>146</v>
      </c>
    </row>
    <row r="87" spans="1:12">
      <c r="A87" s="384" t="s">
        <v>698</v>
      </c>
      <c r="I87" s="1162">
        <v>1.0605555555555555</v>
      </c>
    </row>
    <row r="89" spans="1:12">
      <c r="A89" s="149" t="s">
        <v>82</v>
      </c>
    </row>
    <row r="90" spans="1:12">
      <c r="A90" s="384" t="s">
        <v>511</v>
      </c>
      <c r="I90" s="502" t="s">
        <v>327</v>
      </c>
      <c r="J90" s="502" t="s">
        <v>621</v>
      </c>
      <c r="K90" s="502" t="s">
        <v>428</v>
      </c>
      <c r="L90" s="503" t="s">
        <v>429</v>
      </c>
    </row>
    <row r="91" spans="1:12">
      <c r="A91" s="384" t="s">
        <v>83</v>
      </c>
      <c r="I91" s="500">
        <v>-5.4531049110211748E-2</v>
      </c>
      <c r="J91" s="500">
        <v>1.6299999999999999E-2</v>
      </c>
      <c r="K91" s="500">
        <v>1.6299999999999999E-2</v>
      </c>
      <c r="L91" s="500">
        <v>1.6299999999999999E-2</v>
      </c>
    </row>
    <row r="92" spans="1:12">
      <c r="A92" s="384" t="s">
        <v>949</v>
      </c>
      <c r="I92" s="500"/>
      <c r="J92" s="501">
        <v>0</v>
      </c>
      <c r="K92" s="501">
        <v>0</v>
      </c>
      <c r="L92" s="501">
        <v>0</v>
      </c>
    </row>
    <row r="93" spans="1:12">
      <c r="A93" s="384" t="s">
        <v>967</v>
      </c>
      <c r="I93" s="500">
        <v>1.5699999999999999E-2</v>
      </c>
    </row>
    <row r="94" spans="1:12">
      <c r="A94" s="384" t="s">
        <v>977</v>
      </c>
      <c r="I94" s="500">
        <v>1.6299999999999999E-2</v>
      </c>
    </row>
    <row r="95" spans="1:12">
      <c r="A95" s="384" t="s">
        <v>913</v>
      </c>
      <c r="I95" s="500">
        <v>0</v>
      </c>
    </row>
    <row r="96" spans="1:12">
      <c r="A96" s="384" t="s">
        <v>882</v>
      </c>
      <c r="I96" s="500">
        <v>0.03</v>
      </c>
    </row>
    <row r="97" spans="1:13">
      <c r="A97" s="384" t="s">
        <v>821</v>
      </c>
    </row>
    <row r="98" spans="1:13">
      <c r="A98" s="384" t="s">
        <v>295</v>
      </c>
      <c r="I98" s="502" t="s">
        <v>341</v>
      </c>
      <c r="J98" s="502" t="s">
        <v>330</v>
      </c>
      <c r="K98" s="503" t="s">
        <v>331</v>
      </c>
    </row>
    <row r="99" spans="1:13">
      <c r="A99" s="384" t="s">
        <v>993</v>
      </c>
      <c r="I99" s="500">
        <v>3.2500000000000001E-2</v>
      </c>
      <c r="J99" s="500">
        <v>3.2500000000000001E-2</v>
      </c>
      <c r="K99" s="500">
        <v>3.2500000000000001E-2</v>
      </c>
    </row>
    <row r="100" spans="1:13">
      <c r="A100" s="384" t="s">
        <v>146</v>
      </c>
    </row>
    <row r="101" spans="1:13">
      <c r="A101" s="384" t="s">
        <v>183</v>
      </c>
      <c r="I101" s="1162">
        <v>1</v>
      </c>
    </row>
    <row r="102" spans="1:13">
      <c r="A102" s="384" t="s">
        <v>969</v>
      </c>
      <c r="I102" s="1265">
        <v>6.3E-2</v>
      </c>
    </row>
    <row r="104" spans="1:13">
      <c r="A104" s="149" t="s">
        <v>813</v>
      </c>
    </row>
    <row r="105" spans="1:13">
      <c r="A105" s="384" t="s">
        <v>511</v>
      </c>
      <c r="I105" s="502" t="s">
        <v>327</v>
      </c>
      <c r="J105" s="502" t="s">
        <v>621</v>
      </c>
      <c r="K105" s="502" t="s">
        <v>428</v>
      </c>
      <c r="L105" s="503" t="s">
        <v>429</v>
      </c>
    </row>
    <row r="106" spans="1:13">
      <c r="A106" s="384" t="s">
        <v>1096</v>
      </c>
      <c r="I106" s="500">
        <v>-1.1746709406124989E-2</v>
      </c>
      <c r="J106" s="500">
        <v>0</v>
      </c>
      <c r="K106" s="500">
        <v>0</v>
      </c>
      <c r="L106" s="500">
        <v>0</v>
      </c>
      <c r="M106" s="1266" t="s">
        <v>1090</v>
      </c>
    </row>
    <row r="107" spans="1:13">
      <c r="A107" s="384" t="s">
        <v>950</v>
      </c>
      <c r="I107" s="500"/>
      <c r="J107" s="501">
        <v>0.2</v>
      </c>
      <c r="K107" s="501">
        <v>0.15909090909090909</v>
      </c>
      <c r="L107" s="501">
        <v>0.71900826446280997</v>
      </c>
    </row>
    <row r="108" spans="1:13">
      <c r="A108" s="384" t="s">
        <v>1025</v>
      </c>
      <c r="I108" s="500">
        <v>8.6E-3</v>
      </c>
    </row>
    <row r="109" spans="1:13">
      <c r="A109" s="384" t="s">
        <v>1095</v>
      </c>
      <c r="I109" s="500">
        <v>2.75E-2</v>
      </c>
    </row>
    <row r="110" spans="1:13">
      <c r="A110" s="384" t="s">
        <v>913</v>
      </c>
      <c r="I110" s="500">
        <v>0</v>
      </c>
    </row>
    <row r="111" spans="1:13">
      <c r="A111" s="384" t="s">
        <v>883</v>
      </c>
      <c r="I111" s="500">
        <v>3.1E-2</v>
      </c>
    </row>
    <row r="112" spans="1:13">
      <c r="A112" s="384" t="s">
        <v>995</v>
      </c>
    </row>
    <row r="113" spans="1:12">
      <c r="A113" s="384" t="s">
        <v>295</v>
      </c>
      <c r="I113" s="502" t="s">
        <v>341</v>
      </c>
      <c r="J113" s="502" t="s">
        <v>330</v>
      </c>
      <c r="K113" s="503" t="s">
        <v>331</v>
      </c>
    </row>
    <row r="114" spans="1:12">
      <c r="A114" s="384" t="s">
        <v>993</v>
      </c>
      <c r="I114" s="500">
        <v>3.7490316404529399E-2</v>
      </c>
      <c r="J114" s="500">
        <v>3.7490316404529399E-2</v>
      </c>
      <c r="K114" s="500">
        <v>3.7490316404529399E-2</v>
      </c>
    </row>
    <row r="115" spans="1:12">
      <c r="A115" s="384" t="s">
        <v>146</v>
      </c>
    </row>
    <row r="116" spans="1:12">
      <c r="A116" s="384" t="s">
        <v>183</v>
      </c>
      <c r="I116" s="1162">
        <v>1</v>
      </c>
    </row>
    <row r="117" spans="1:12">
      <c r="A117" s="384" t="s">
        <v>969</v>
      </c>
      <c r="I117" s="1163">
        <v>5.8099999999999999E-2</v>
      </c>
    </row>
    <row r="119" spans="1:12">
      <c r="A119" s="149" t="s">
        <v>924</v>
      </c>
    </row>
    <row r="120" spans="1:12">
      <c r="A120" s="384" t="s">
        <v>511</v>
      </c>
      <c r="I120" s="502" t="s">
        <v>327</v>
      </c>
      <c r="J120" s="502" t="s">
        <v>621</v>
      </c>
      <c r="K120" s="502" t="s">
        <v>428</v>
      </c>
      <c r="L120" s="503" t="s">
        <v>429</v>
      </c>
    </row>
    <row r="121" spans="1:12">
      <c r="A121" s="384" t="s">
        <v>1097</v>
      </c>
      <c r="I121" s="500">
        <v>-1.6714505703499638E-2</v>
      </c>
      <c r="J121" s="500">
        <v>0</v>
      </c>
      <c r="K121" s="500">
        <v>0</v>
      </c>
      <c r="L121" s="500">
        <v>0</v>
      </c>
    </row>
    <row r="122" spans="1:12">
      <c r="A122" s="384" t="s">
        <v>925</v>
      </c>
      <c r="I122" s="500"/>
      <c r="J122" s="501">
        <v>0.32861635220125784</v>
      </c>
      <c r="K122" s="501">
        <v>0.66666666666666663</v>
      </c>
      <c r="L122" s="501">
        <v>0.45381526104417669</v>
      </c>
    </row>
    <row r="123" spans="1:12">
      <c r="A123" s="384" t="s">
        <v>1166</v>
      </c>
      <c r="I123" s="500">
        <v>1.0200000000000001E-2</v>
      </c>
    </row>
    <row r="124" spans="1:12">
      <c r="A124" s="384" t="s">
        <v>1026</v>
      </c>
      <c r="I124" s="500">
        <v>0.03</v>
      </c>
    </row>
    <row r="125" spans="1:12">
      <c r="A125" s="384" t="s">
        <v>913</v>
      </c>
      <c r="I125" s="500">
        <v>0</v>
      </c>
    </row>
    <row r="126" spans="1:12">
      <c r="A126" s="384" t="s">
        <v>883</v>
      </c>
      <c r="I126" s="500">
        <v>3.1E-2</v>
      </c>
    </row>
    <row r="127" spans="1:12">
      <c r="A127" s="384" t="s">
        <v>1164</v>
      </c>
    </row>
    <row r="128" spans="1:12">
      <c r="A128" s="384" t="s">
        <v>295</v>
      </c>
      <c r="I128" s="502" t="s">
        <v>341</v>
      </c>
      <c r="J128" s="502" t="s">
        <v>330</v>
      </c>
      <c r="K128" s="503" t="s">
        <v>331</v>
      </c>
    </row>
    <row r="129" spans="1:12">
      <c r="A129" s="384" t="s">
        <v>993</v>
      </c>
      <c r="I129" s="500">
        <v>4.7839999999999994E-2</v>
      </c>
      <c r="J129" s="500">
        <v>4.7839999999999994E-2</v>
      </c>
      <c r="K129" s="500">
        <v>4.7839999999999994E-2</v>
      </c>
    </row>
    <row r="130" spans="1:12">
      <c r="A130" s="384" t="s">
        <v>146</v>
      </c>
    </row>
    <row r="131" spans="1:12">
      <c r="A131" s="384" t="s">
        <v>183</v>
      </c>
      <c r="I131" s="1162">
        <v>1</v>
      </c>
    </row>
    <row r="132" spans="1:12">
      <c r="A132" s="384" t="s">
        <v>969</v>
      </c>
      <c r="I132" s="1163">
        <v>7.7200000000000005E-2</v>
      </c>
    </row>
    <row r="134" spans="1:12">
      <c r="A134" s="149" t="s">
        <v>994</v>
      </c>
    </row>
    <row r="135" spans="1:12">
      <c r="A135" s="384" t="s">
        <v>511</v>
      </c>
      <c r="I135" s="502" t="s">
        <v>327</v>
      </c>
      <c r="J135" s="502" t="s">
        <v>621</v>
      </c>
      <c r="K135" s="502" t="s">
        <v>428</v>
      </c>
      <c r="L135" s="503" t="s">
        <v>429</v>
      </c>
    </row>
    <row r="136" spans="1:12">
      <c r="A136" s="384" t="s">
        <v>1499</v>
      </c>
      <c r="I136" s="500">
        <v>-2.5845727922941264E-2</v>
      </c>
      <c r="J136" s="500">
        <v>0</v>
      </c>
      <c r="K136" s="500">
        <v>0</v>
      </c>
      <c r="L136" s="500">
        <v>0</v>
      </c>
    </row>
    <row r="137" spans="1:12">
      <c r="A137" s="384" t="s">
        <v>1192</v>
      </c>
      <c r="I137" s="500"/>
      <c r="J137" s="501">
        <v>0.37709252381299652</v>
      </c>
      <c r="K137" s="501">
        <v>0.19762663535726288</v>
      </c>
      <c r="L137" s="501">
        <v>0.31598839862203865</v>
      </c>
    </row>
    <row r="138" spans="1:12">
      <c r="A138" s="384" t="s">
        <v>122</v>
      </c>
      <c r="I138" s="500">
        <v>0</v>
      </c>
    </row>
    <row r="139" spans="1:12">
      <c r="A139" s="384" t="s">
        <v>1218</v>
      </c>
      <c r="I139" s="500">
        <v>0.02</v>
      </c>
    </row>
    <row r="140" spans="1:12">
      <c r="A140" s="384" t="s">
        <v>1219</v>
      </c>
      <c r="I140" s="500">
        <v>0</v>
      </c>
    </row>
    <row r="141" spans="1:12">
      <c r="A141" s="384" t="s">
        <v>883</v>
      </c>
      <c r="I141" s="500">
        <v>3.1E-2</v>
      </c>
    </row>
    <row r="142" spans="1:12">
      <c r="A142" s="384" t="s">
        <v>1217</v>
      </c>
    </row>
    <row r="143" spans="1:12">
      <c r="A143" s="384" t="s">
        <v>295</v>
      </c>
    </row>
    <row r="144" spans="1:12">
      <c r="A144" s="384" t="s">
        <v>1478</v>
      </c>
      <c r="I144" s="1161">
        <v>5.5078886150366019E-2</v>
      </c>
      <c r="J144" s="500"/>
      <c r="K144" s="500"/>
    </row>
    <row r="145" spans="1:12">
      <c r="A145" s="384" t="s">
        <v>146</v>
      </c>
    </row>
    <row r="146" spans="1:12">
      <c r="A146" s="384" t="s">
        <v>183</v>
      </c>
      <c r="I146" s="1162">
        <v>1</v>
      </c>
    </row>
    <row r="147" spans="1:12">
      <c r="A147" s="384" t="s">
        <v>969</v>
      </c>
      <c r="I147" s="1163">
        <v>7.6200000000000004E-2</v>
      </c>
    </row>
    <row r="149" spans="1:12">
      <c r="A149" s="149" t="s">
        <v>1011</v>
      </c>
    </row>
    <row r="150" spans="1:12">
      <c r="A150" s="384" t="s">
        <v>511</v>
      </c>
      <c r="I150" s="502" t="s">
        <v>327</v>
      </c>
      <c r="J150" s="502" t="s">
        <v>621</v>
      </c>
      <c r="K150" s="502" t="s">
        <v>428</v>
      </c>
      <c r="L150" s="503" t="s">
        <v>429</v>
      </c>
    </row>
    <row r="151" spans="1:12">
      <c r="A151" s="1236" t="s">
        <v>1552</v>
      </c>
      <c r="I151" s="500">
        <v>-3.0267757333534262E-2</v>
      </c>
      <c r="J151" s="500">
        <v>-3.0202220610813346E-2</v>
      </c>
      <c r="K151" s="500">
        <v>-7.5860735957487879E-2</v>
      </c>
      <c r="L151" s="500">
        <v>-3.3248602185436682E-2</v>
      </c>
    </row>
    <row r="152" spans="1:12">
      <c r="A152" s="384" t="s">
        <v>1498</v>
      </c>
      <c r="I152" s="500"/>
      <c r="J152" s="501">
        <v>0.10488921702957721</v>
      </c>
      <c r="K152" s="501">
        <v>-6.6594306922026725E-2</v>
      </c>
      <c r="L152" s="501">
        <v>0.13212408693935962</v>
      </c>
    </row>
    <row r="153" spans="1:12">
      <c r="A153" s="1236" t="s">
        <v>1507</v>
      </c>
      <c r="I153" s="500">
        <v>1.5599999999999999E-2</v>
      </c>
      <c r="J153" s="1267"/>
    </row>
    <row r="154" spans="1:12">
      <c r="A154" s="1236" t="s">
        <v>1508</v>
      </c>
      <c r="I154" s="500">
        <v>0.01</v>
      </c>
    </row>
    <row r="155" spans="1:12">
      <c r="A155" s="384" t="s">
        <v>913</v>
      </c>
      <c r="I155" s="500">
        <v>0</v>
      </c>
    </row>
    <row r="156" spans="1:12">
      <c r="A156" s="1236" t="s">
        <v>1553</v>
      </c>
      <c r="I156" s="500">
        <v>3.4200000000000001E-2</v>
      </c>
      <c r="J156" s="1268"/>
      <c r="K156" s="1269"/>
    </row>
    <row r="157" spans="1:12">
      <c r="A157" s="1236" t="s">
        <v>1554</v>
      </c>
    </row>
    <row r="158" spans="1:12">
      <c r="A158" s="384" t="s">
        <v>295</v>
      </c>
    </row>
    <row r="159" spans="1:12" ht="12" customHeight="1">
      <c r="A159" s="384" t="s">
        <v>1478</v>
      </c>
      <c r="I159" s="1161">
        <v>5.0865006462863224E-2</v>
      </c>
      <c r="J159" s="500"/>
      <c r="K159" s="500"/>
    </row>
    <row r="160" spans="1:12">
      <c r="A160" s="384" t="s">
        <v>146</v>
      </c>
    </row>
    <row r="161" spans="1:24">
      <c r="A161" s="384" t="s">
        <v>183</v>
      </c>
      <c r="I161" s="1162">
        <v>1</v>
      </c>
    </row>
    <row r="162" spans="1:24">
      <c r="A162" s="384" t="s">
        <v>969</v>
      </c>
      <c r="I162" s="1163">
        <v>7.8899999999999998E-2</v>
      </c>
      <c r="J162" s="1499">
        <v>3.5433070866141669E-2</v>
      </c>
      <c r="M162" s="1236"/>
    </row>
    <row r="163" spans="1:24">
      <c r="A163" s="1236" t="s">
        <v>1509</v>
      </c>
      <c r="I163" s="503">
        <v>146</v>
      </c>
      <c r="J163" s="1268"/>
      <c r="K163" s="1270"/>
    </row>
    <row r="164" spans="1:24">
      <c r="A164" s="1236"/>
      <c r="I164" s="503"/>
      <c r="J164" s="1268"/>
      <c r="K164" s="1270"/>
    </row>
    <row r="165" spans="1:24">
      <c r="A165" s="149" t="s">
        <v>1180</v>
      </c>
    </row>
    <row r="166" spans="1:24" s="817" customFormat="1">
      <c r="A166" s="817" t="s">
        <v>511</v>
      </c>
      <c r="G166" s="1458"/>
      <c r="I166" s="1459" t="s">
        <v>327</v>
      </c>
      <c r="J166" s="1459" t="s">
        <v>621</v>
      </c>
      <c r="K166" s="1459" t="s">
        <v>428</v>
      </c>
      <c r="L166" s="1460" t="s">
        <v>429</v>
      </c>
    </row>
    <row r="167" spans="1:24">
      <c r="A167" s="817" t="s">
        <v>1500</v>
      </c>
      <c r="B167" s="817"/>
      <c r="C167" s="817"/>
      <c r="D167" s="817"/>
      <c r="E167" s="817"/>
      <c r="F167" s="817"/>
      <c r="G167" s="1458"/>
      <c r="H167" s="817"/>
      <c r="I167" s="1461">
        <v>-4.8146220723946587E-2</v>
      </c>
      <c r="J167" s="1461">
        <v>-0.05</v>
      </c>
      <c r="K167" s="1461">
        <v>-0.05</v>
      </c>
      <c r="L167" s="1461">
        <v>-0.05</v>
      </c>
      <c r="M167" s="817"/>
      <c r="N167" s="1456" t="s">
        <v>1625</v>
      </c>
      <c r="O167" s="817"/>
      <c r="P167" s="1456" t="s">
        <v>1628</v>
      </c>
      <c r="Q167" s="817"/>
      <c r="R167" s="817"/>
      <c r="S167" s="817"/>
      <c r="T167" s="817"/>
      <c r="U167" s="817"/>
      <c r="V167" s="817"/>
      <c r="W167" s="817"/>
      <c r="X167" s="817"/>
    </row>
    <row r="168" spans="1:24">
      <c r="A168" s="817" t="s">
        <v>1193</v>
      </c>
      <c r="B168" s="817"/>
      <c r="C168" s="817"/>
      <c r="D168" s="817"/>
      <c r="E168" s="817"/>
      <c r="F168" s="817"/>
      <c r="G168" s="1458"/>
      <c r="H168" s="817"/>
      <c r="I168" s="1461"/>
      <c r="J168" s="1472">
        <v>-9.5100644199338613E-2</v>
      </c>
      <c r="K168" s="1472">
        <v>6.3768333395851418E-2</v>
      </c>
      <c r="L168" s="1472">
        <v>4.6605393219457225E-2</v>
      </c>
      <c r="M168" s="817"/>
      <c r="N168" s="1456" t="s">
        <v>1626</v>
      </c>
      <c r="O168" s="817"/>
      <c r="P168" s="817"/>
      <c r="Q168" s="817"/>
      <c r="R168" s="817"/>
      <c r="S168" s="817"/>
      <c r="T168" s="1456" t="s">
        <v>1627</v>
      </c>
      <c r="U168" s="817"/>
      <c r="V168" s="817"/>
      <c r="W168" s="817"/>
      <c r="X168" s="817"/>
    </row>
    <row r="169" spans="1:24" s="1748" customFormat="1">
      <c r="A169" s="1747" t="s">
        <v>1703</v>
      </c>
      <c r="G169" s="1749"/>
      <c r="I169" s="1750">
        <v>2.7099999999999999E-2</v>
      </c>
      <c r="J169" s="1751"/>
      <c r="K169" s="1752"/>
      <c r="L169" s="1751"/>
    </row>
    <row r="170" spans="1:24" s="1748" customFormat="1">
      <c r="A170" s="1747" t="s">
        <v>1508</v>
      </c>
      <c r="G170" s="1749"/>
      <c r="I170" s="1750">
        <v>0.01</v>
      </c>
      <c r="J170" s="1751"/>
      <c r="K170" s="1752"/>
      <c r="L170" s="1751"/>
    </row>
    <row r="171" spans="1:24" s="1748" customFormat="1">
      <c r="A171" s="1748" t="s">
        <v>913</v>
      </c>
      <c r="G171" s="1749"/>
      <c r="I171" s="1750">
        <v>0</v>
      </c>
      <c r="J171" s="1753" t="s">
        <v>669</v>
      </c>
      <c r="K171" s="1752"/>
      <c r="L171" s="1751"/>
    </row>
    <row r="172" spans="1:24" s="1748" customFormat="1">
      <c r="A172" s="1747" t="s">
        <v>1739</v>
      </c>
      <c r="G172" s="1749"/>
      <c r="I172" s="1750">
        <v>3.6600000000000001E-2</v>
      </c>
      <c r="J172" s="1753" t="s">
        <v>1629</v>
      </c>
      <c r="K172" s="1752"/>
      <c r="L172" s="1751"/>
    </row>
    <row r="173" spans="1:24" s="817" customFormat="1">
      <c r="A173" s="1456" t="s">
        <v>1630</v>
      </c>
      <c r="G173" s="1458"/>
      <c r="I173" s="1459"/>
      <c r="J173" s="1459"/>
      <c r="K173" s="1460"/>
      <c r="L173" s="1459"/>
    </row>
    <row r="174" spans="1:24" s="817" customFormat="1">
      <c r="A174" s="817" t="s">
        <v>295</v>
      </c>
      <c r="G174" s="1458"/>
      <c r="I174" s="1459"/>
      <c r="J174" s="1459"/>
      <c r="K174" s="1460"/>
      <c r="L174" s="1459"/>
    </row>
    <row r="175" spans="1:24" s="817" customFormat="1">
      <c r="A175" s="817" t="s">
        <v>1478</v>
      </c>
      <c r="G175" s="1458"/>
      <c r="I175" s="1464">
        <v>3.9074388453686749E-2</v>
      </c>
      <c r="J175" s="1465"/>
      <c r="K175" s="1461"/>
      <c r="L175" s="1459"/>
    </row>
    <row r="176" spans="1:24" s="1748" customFormat="1">
      <c r="A176" s="1748" t="s">
        <v>146</v>
      </c>
      <c r="G176" s="1749"/>
      <c r="I176" s="1751"/>
      <c r="J176" s="1751"/>
      <c r="K176" s="1752"/>
      <c r="L176" s="1751"/>
    </row>
    <row r="177" spans="1:20" s="1748" customFormat="1">
      <c r="A177" s="1748" t="s">
        <v>183</v>
      </c>
      <c r="G177" s="1749"/>
      <c r="I177" s="1758">
        <v>1</v>
      </c>
      <c r="J177" s="1751"/>
      <c r="K177" s="1752"/>
      <c r="L177" s="1751"/>
    </row>
    <row r="178" spans="1:20" s="1748" customFormat="1">
      <c r="A178" s="1748" t="s">
        <v>969</v>
      </c>
      <c r="G178" s="1749"/>
      <c r="I178" s="1754">
        <v>8.0299999999999996E-2</v>
      </c>
      <c r="J178" s="1755"/>
      <c r="K178" s="1752"/>
      <c r="L178" s="1751"/>
    </row>
    <row r="179" spans="1:20" s="1748" customFormat="1">
      <c r="A179" s="1747" t="s">
        <v>1509</v>
      </c>
      <c r="G179" s="1749"/>
      <c r="I179" s="1752">
        <v>151</v>
      </c>
      <c r="J179" s="1753"/>
      <c r="K179" s="1756"/>
      <c r="L179" s="1751"/>
    </row>
    <row r="180" spans="1:20" s="1910" customFormat="1">
      <c r="A180" s="1909" t="s">
        <v>1747</v>
      </c>
      <c r="G180" s="1911"/>
      <c r="I180" s="1912">
        <v>29.21</v>
      </c>
      <c r="J180" s="1913"/>
      <c r="K180" s="1914"/>
      <c r="L180" s="1915"/>
    </row>
    <row r="181" spans="1:20" s="1910" customFormat="1">
      <c r="A181" s="1909" t="s">
        <v>1932</v>
      </c>
      <c r="G181" s="1911"/>
      <c r="I181" s="1912">
        <v>233</v>
      </c>
      <c r="J181" s="1913"/>
      <c r="K181" s="1914"/>
      <c r="L181" s="1915"/>
    </row>
    <row r="182" spans="1:20">
      <c r="A182" s="1236"/>
      <c r="I182" s="503"/>
      <c r="J182" s="1268"/>
      <c r="K182" s="1270"/>
    </row>
    <row r="183" spans="1:20">
      <c r="A183" s="149" t="s">
        <v>1479</v>
      </c>
    </row>
    <row r="184" spans="1:20" s="817" customFormat="1">
      <c r="A184" s="817" t="s">
        <v>511</v>
      </c>
      <c r="G184" s="1458"/>
      <c r="I184" s="1459" t="s">
        <v>327</v>
      </c>
      <c r="J184" s="1459" t="s">
        <v>621</v>
      </c>
      <c r="K184" s="1459" t="s">
        <v>428</v>
      </c>
      <c r="L184" s="1460" t="s">
        <v>429</v>
      </c>
    </row>
    <row r="185" spans="1:20">
      <c r="A185" s="817" t="s">
        <v>1501</v>
      </c>
      <c r="B185" s="817"/>
      <c r="C185" s="817"/>
      <c r="D185" s="817"/>
      <c r="E185" s="817"/>
      <c r="F185" s="817"/>
      <c r="G185" s="1458"/>
      <c r="H185" s="817"/>
      <c r="I185" s="1461">
        <v>-3.82887494723535E-2</v>
      </c>
      <c r="J185" s="1461">
        <v>-0.04</v>
      </c>
      <c r="K185" s="1461">
        <v>-0.04</v>
      </c>
      <c r="L185" s="1461">
        <v>-0.04</v>
      </c>
      <c r="M185" s="817"/>
      <c r="N185" s="1456" t="s">
        <v>1631</v>
      </c>
      <c r="O185" s="817"/>
      <c r="P185" s="817"/>
      <c r="Q185" s="817"/>
      <c r="R185" s="817"/>
      <c r="S185" s="817"/>
      <c r="T185" s="817"/>
    </row>
    <row r="186" spans="1:20" s="817" customFormat="1">
      <c r="A186" s="817" t="s">
        <v>1480</v>
      </c>
      <c r="G186" s="1458"/>
      <c r="I186" s="1461"/>
      <c r="J186" s="1472">
        <v>-9.1327030567589618E-2</v>
      </c>
      <c r="K186" s="1472">
        <v>6.8581940626865734E-2</v>
      </c>
      <c r="L186" s="1472">
        <v>4.8095773766119621E-2</v>
      </c>
    </row>
    <row r="187" spans="1:20" s="1760" customFormat="1">
      <c r="A187" s="1759" t="s">
        <v>1743</v>
      </c>
      <c r="G187" s="1761"/>
      <c r="I187" s="1762">
        <v>2.5700000000000001E-2</v>
      </c>
      <c r="J187" s="1763"/>
      <c r="K187" s="1764"/>
      <c r="L187" s="1763"/>
    </row>
    <row r="188" spans="1:20" s="1766" customFormat="1">
      <c r="A188" s="1765" t="s">
        <v>1508</v>
      </c>
      <c r="G188" s="1767"/>
      <c r="I188" s="1768">
        <v>0.01</v>
      </c>
      <c r="J188" s="1769"/>
      <c r="K188" s="1770"/>
      <c r="L188" s="1769"/>
    </row>
    <row r="189" spans="1:20" s="817" customFormat="1">
      <c r="A189" s="817" t="s">
        <v>913</v>
      </c>
      <c r="G189" s="1458"/>
      <c r="I189" s="1461">
        <v>0</v>
      </c>
      <c r="J189" s="1459"/>
      <c r="K189" s="1460"/>
      <c r="L189" s="1459"/>
    </row>
    <row r="190" spans="1:20" s="1760" customFormat="1">
      <c r="A190" s="1759" t="s">
        <v>1745</v>
      </c>
      <c r="G190" s="1761"/>
      <c r="I190" s="1762">
        <v>3.5000000000000003E-2</v>
      </c>
      <c r="J190" s="1763"/>
      <c r="K190" s="1764"/>
      <c r="L190" s="1763"/>
    </row>
    <row r="191" spans="1:20" s="817" customFormat="1">
      <c r="A191" s="1456" t="s">
        <v>1741</v>
      </c>
      <c r="G191" s="1458"/>
      <c r="I191" s="1459"/>
      <c r="J191" s="1459"/>
      <c r="K191" s="1460"/>
      <c r="L191" s="1459"/>
    </row>
    <row r="192" spans="1:20" s="817" customFormat="1">
      <c r="A192" s="817" t="s">
        <v>295</v>
      </c>
      <c r="G192" s="1458"/>
      <c r="I192" s="1459"/>
      <c r="J192" s="1459"/>
      <c r="K192" s="1460"/>
      <c r="L192" s="1459"/>
    </row>
    <row r="193" spans="1:12" s="817" customFormat="1">
      <c r="A193" s="817" t="s">
        <v>1478</v>
      </c>
      <c r="G193" s="1458"/>
      <c r="I193" s="1464">
        <v>4.2527540296767627E-2</v>
      </c>
      <c r="J193" s="1461"/>
      <c r="K193" s="1461"/>
      <c r="L193" s="1459"/>
    </row>
    <row r="194" spans="1:12" s="817" customFormat="1">
      <c r="A194" s="817" t="s">
        <v>146</v>
      </c>
      <c r="G194" s="1458"/>
      <c r="I194" s="1459"/>
      <c r="J194" s="1459"/>
      <c r="K194" s="1460"/>
      <c r="L194" s="1459"/>
    </row>
    <row r="195" spans="1:12" s="817" customFormat="1">
      <c r="A195" s="817" t="s">
        <v>183</v>
      </c>
      <c r="G195" s="1458"/>
      <c r="I195" s="1463">
        <v>1</v>
      </c>
      <c r="J195" s="1459"/>
      <c r="K195" s="1460"/>
      <c r="L195" s="1459"/>
    </row>
    <row r="196" spans="1:12" s="817" customFormat="1">
      <c r="A196" s="817" t="s">
        <v>969</v>
      </c>
      <c r="G196" s="1458"/>
      <c r="I196" s="1462">
        <v>7.8299999999999995E-2</v>
      </c>
      <c r="J196" s="1459"/>
      <c r="K196" s="1460"/>
      <c r="L196" s="1459"/>
    </row>
    <row r="197" spans="1:12" s="1748" customFormat="1">
      <c r="A197" s="1747" t="s">
        <v>1509</v>
      </c>
      <c r="G197" s="1749"/>
      <c r="I197" s="1752">
        <v>151</v>
      </c>
      <c r="J197" s="1753"/>
      <c r="K197" s="1756"/>
      <c r="L197" s="1751"/>
    </row>
    <row r="198" spans="1:12" s="1748" customFormat="1">
      <c r="A198" s="1747" t="s">
        <v>1747</v>
      </c>
      <c r="G198" s="1749"/>
      <c r="I198" s="1752">
        <v>29.21</v>
      </c>
      <c r="J198" s="1753"/>
      <c r="K198" s="1756"/>
      <c r="L198" s="1751"/>
    </row>
    <row r="200" spans="1:12">
      <c r="A200" s="149" t="s">
        <v>1621</v>
      </c>
    </row>
    <row r="201" spans="1:12">
      <c r="A201" s="384" t="s">
        <v>511</v>
      </c>
      <c r="I201" s="502" t="s">
        <v>327</v>
      </c>
      <c r="J201" s="502" t="s">
        <v>621</v>
      </c>
      <c r="K201" s="502" t="s">
        <v>428</v>
      </c>
      <c r="L201" s="503" t="s">
        <v>429</v>
      </c>
    </row>
    <row r="202" spans="1:12">
      <c r="A202" s="384" t="s">
        <v>1501</v>
      </c>
      <c r="I202" s="500">
        <v>-1.0628916359733731E-2</v>
      </c>
      <c r="J202" s="500">
        <v>-0.01</v>
      </c>
      <c r="K202" s="500">
        <v>-0.01</v>
      </c>
      <c r="L202" s="500">
        <v>-0.01</v>
      </c>
    </row>
    <row r="203" spans="1:12">
      <c r="A203" s="384" t="s">
        <v>1480</v>
      </c>
      <c r="I203" s="500"/>
      <c r="J203" s="501">
        <v>-8.7338933674241725E-2</v>
      </c>
      <c r="K203" s="501">
        <v>7.3426647706772208E-2</v>
      </c>
      <c r="L203" s="501">
        <v>4.9563236033028701E-2</v>
      </c>
    </row>
    <row r="204" spans="1:12" s="1760" customFormat="1">
      <c r="A204" s="1759" t="s">
        <v>1744</v>
      </c>
      <c r="G204" s="1761"/>
      <c r="I204" s="1762">
        <v>2.6700000000000002E-2</v>
      </c>
      <c r="J204" s="1763"/>
      <c r="K204" s="1764"/>
      <c r="L204" s="1763"/>
    </row>
    <row r="205" spans="1:12" s="1766" customFormat="1">
      <c r="A205" s="1765" t="s">
        <v>1508</v>
      </c>
      <c r="G205" s="1767"/>
      <c r="I205" s="1768">
        <v>0.01</v>
      </c>
      <c r="J205" s="1769"/>
      <c r="K205" s="1770"/>
      <c r="L205" s="1769"/>
    </row>
    <row r="206" spans="1:12">
      <c r="A206" s="384" t="s">
        <v>913</v>
      </c>
      <c r="I206" s="500">
        <v>0</v>
      </c>
    </row>
    <row r="207" spans="1:12" s="1760" customFormat="1">
      <c r="A207" s="1759" t="s">
        <v>1746</v>
      </c>
      <c r="G207" s="1761"/>
      <c r="I207" s="1762">
        <v>3.2300000000000002E-2</v>
      </c>
      <c r="J207" s="1763"/>
      <c r="K207" s="1764"/>
      <c r="L207" s="1763"/>
    </row>
    <row r="208" spans="1:12">
      <c r="A208" s="1236" t="s">
        <v>1742</v>
      </c>
    </row>
    <row r="209" spans="1:12">
      <c r="A209" s="384" t="s">
        <v>295</v>
      </c>
    </row>
    <row r="210" spans="1:12">
      <c r="A210" s="384" t="s">
        <v>1478</v>
      </c>
      <c r="I210" s="1544">
        <v>4.2863251196113991E-2</v>
      </c>
      <c r="J210" s="500"/>
      <c r="K210" s="500"/>
    </row>
    <row r="211" spans="1:12">
      <c r="A211" s="384" t="s">
        <v>146</v>
      </c>
    </row>
    <row r="212" spans="1:12">
      <c r="A212" s="384" t="s">
        <v>183</v>
      </c>
      <c r="I212" s="1162">
        <v>1</v>
      </c>
    </row>
    <row r="213" spans="1:12">
      <c r="A213" s="384" t="s">
        <v>969</v>
      </c>
      <c r="I213" s="1163">
        <v>7.6299999999999993E-2</v>
      </c>
    </row>
    <row r="214" spans="1:12" s="1748" customFormat="1">
      <c r="A214" s="1747" t="s">
        <v>1509</v>
      </c>
      <c r="G214" s="1749"/>
      <c r="I214" s="1752">
        <v>151</v>
      </c>
      <c r="J214" s="1753"/>
      <c r="K214" s="1756"/>
      <c r="L214" s="1751"/>
    </row>
    <row r="215" spans="1:12" s="1748" customFormat="1">
      <c r="A215" s="1747" t="s">
        <v>1747</v>
      </c>
      <c r="G215" s="1749"/>
      <c r="I215" s="1752">
        <v>29.21</v>
      </c>
      <c r="J215" s="1753"/>
      <c r="K215" s="1756"/>
      <c r="L215" s="1751"/>
    </row>
  </sheetData>
  <mergeCells count="1">
    <mergeCell ref="A3:G3"/>
  </mergeCells>
  <phoneticPr fontId="12" type="noConversion"/>
  <pageMargins left="0.25" right="0.37" top="1" bottom="0.5" header="0.5" footer="0.5"/>
  <pageSetup scale="86" orientation="portrait" r:id="rId1"/>
  <headerFooter alignWithMargins="0">
    <oddHeader>&amp;C&amp;"Arial,Bold"&amp;14Resource Allocation Assumptions</oddHead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pageSetUpPr fitToPage="1"/>
  </sheetPr>
  <dimension ref="A1:AE93"/>
  <sheetViews>
    <sheetView workbookViewId="0">
      <selection sqref="A1:XFD1048576"/>
    </sheetView>
  </sheetViews>
  <sheetFormatPr defaultColWidth="9.28515625" defaultRowHeight="12.75"/>
  <cols>
    <col min="1" max="1" width="16.28515625" style="820" customWidth="1"/>
    <col min="2" max="2" width="16.42578125" style="820" customWidth="1"/>
    <col min="3" max="3" width="26.42578125" style="820" customWidth="1"/>
    <col min="4" max="4" width="18" style="820" hidden="1" customWidth="1"/>
    <col min="5" max="5" width="15" style="820" hidden="1" customWidth="1"/>
    <col min="6" max="6" width="16" style="820" customWidth="1"/>
    <col min="7" max="8" width="13.42578125" style="820" hidden="1" customWidth="1"/>
    <col min="9" max="9" width="14" style="820" hidden="1" customWidth="1"/>
    <col min="10" max="10" width="15.7109375" style="820" hidden="1" customWidth="1"/>
    <col min="11" max="11" width="15" style="1357" hidden="1" customWidth="1"/>
    <col min="12" max="12" width="15.140625" style="820" bestFit="1" customWidth="1"/>
    <col min="13" max="13" width="16" style="820" bestFit="1" customWidth="1"/>
    <col min="14" max="14" width="17.7109375" style="820" customWidth="1"/>
    <col min="15" max="15" width="19.42578125" style="820" customWidth="1"/>
    <col min="16" max="16" width="16" style="820" customWidth="1"/>
    <col min="17" max="17" width="16.28515625" style="820" bestFit="1" customWidth="1"/>
    <col min="18" max="18" width="17.42578125" style="820" bestFit="1" customWidth="1"/>
    <col min="19" max="19" width="17.28515625" style="820" customWidth="1"/>
    <col min="20" max="20" width="20" style="820" customWidth="1"/>
    <col min="21" max="21" width="19.42578125" style="820" customWidth="1"/>
    <col min="22" max="22" width="9.28515625" style="820"/>
    <col min="23" max="23" width="20" style="820" customWidth="1"/>
    <col min="24" max="24" width="18.28515625" style="820" customWidth="1"/>
    <col min="25" max="26" width="15.140625" style="820" bestFit="1" customWidth="1"/>
    <col min="27" max="27" width="17.42578125" style="820" bestFit="1" customWidth="1"/>
    <col min="28" max="28" width="9.28515625" style="820"/>
    <col min="29" max="29" width="16.28515625" style="820" bestFit="1" customWidth="1"/>
    <col min="30" max="16384" width="9.28515625" style="820"/>
  </cols>
  <sheetData>
    <row r="1" spans="1:18" ht="13.5" thickBot="1">
      <c r="A1" s="1335" t="s">
        <v>457</v>
      </c>
      <c r="B1" s="1336"/>
      <c r="C1" s="1335" t="s">
        <v>457</v>
      </c>
      <c r="D1" s="1336"/>
      <c r="E1" s="1336"/>
      <c r="F1" s="1336"/>
      <c r="G1" s="1337"/>
      <c r="H1" s="1337"/>
      <c r="I1" s="1335"/>
      <c r="J1" s="1335"/>
      <c r="K1" s="1338"/>
      <c r="L1" s="183"/>
      <c r="M1" s="1335"/>
      <c r="N1" s="183"/>
      <c r="O1" s="820" t="s">
        <v>1634</v>
      </c>
    </row>
    <row r="2" spans="1:18">
      <c r="A2" s="1339"/>
      <c r="B2" s="183"/>
      <c r="C2" s="183"/>
      <c r="D2" s="183"/>
      <c r="E2" s="183"/>
      <c r="F2" s="1340" t="s">
        <v>549</v>
      </c>
      <c r="G2" s="1340" t="s">
        <v>549</v>
      </c>
      <c r="H2" s="1341" t="s">
        <v>549</v>
      </c>
      <c r="I2" s="1342" t="s">
        <v>912</v>
      </c>
      <c r="J2" s="1342" t="s">
        <v>912</v>
      </c>
      <c r="K2" s="1343" t="s">
        <v>912</v>
      </c>
      <c r="L2" s="1344" t="s">
        <v>912</v>
      </c>
      <c r="M2" s="1342" t="s">
        <v>912</v>
      </c>
      <c r="N2" s="1344" t="s">
        <v>912</v>
      </c>
      <c r="O2" s="183"/>
      <c r="P2" s="1479"/>
      <c r="R2" s="820" t="s">
        <v>1636</v>
      </c>
    </row>
    <row r="3" spans="1:18">
      <c r="A3" s="1339"/>
      <c r="B3" s="1345" t="s">
        <v>481</v>
      </c>
      <c r="C3" s="183"/>
      <c r="D3" s="1346" t="s">
        <v>546</v>
      </c>
      <c r="E3" s="1346" t="s">
        <v>482</v>
      </c>
      <c r="F3" s="1346" t="s">
        <v>483</v>
      </c>
      <c r="G3" s="1347" t="s">
        <v>418</v>
      </c>
      <c r="H3" s="1347" t="s">
        <v>334</v>
      </c>
      <c r="I3" s="1348" t="s">
        <v>282</v>
      </c>
      <c r="J3" s="1348" t="s">
        <v>235</v>
      </c>
      <c r="K3" s="1349" t="s">
        <v>19</v>
      </c>
      <c r="L3" s="1349" t="s">
        <v>816</v>
      </c>
      <c r="M3" s="1349" t="s">
        <v>927</v>
      </c>
      <c r="N3" s="1349" t="s">
        <v>996</v>
      </c>
      <c r="O3" s="1510" t="s">
        <v>1015</v>
      </c>
      <c r="P3" s="1480" t="s">
        <v>1184</v>
      </c>
      <c r="Q3" s="1350" t="s">
        <v>1485</v>
      </c>
      <c r="R3" s="1350" t="s">
        <v>1633</v>
      </c>
    </row>
    <row r="4" spans="1:18">
      <c r="A4" s="1339" t="s">
        <v>533</v>
      </c>
      <c r="B4" s="1351">
        <v>19158.384783361147</v>
      </c>
      <c r="C4" s="1339" t="s">
        <v>533</v>
      </c>
      <c r="D4" s="1352">
        <v>19260.294437595032</v>
      </c>
      <c r="E4" s="1352">
        <v>23099.697668507702</v>
      </c>
      <c r="F4" s="1352">
        <v>20887.089999999997</v>
      </c>
      <c r="G4" s="1353">
        <v>23798.580000000005</v>
      </c>
      <c r="H4" s="1353">
        <v>21681.840973064773</v>
      </c>
      <c r="I4" s="1352">
        <v>19484.370000000003</v>
      </c>
      <c r="J4" s="1354">
        <v>19580.559434848248</v>
      </c>
      <c r="K4" s="1354">
        <v>18494</v>
      </c>
      <c r="L4" s="1355">
        <v>17992</v>
      </c>
      <c r="M4" s="1356">
        <v>17320.475969894014</v>
      </c>
      <c r="N4" s="1356">
        <v>16406.698476500551</v>
      </c>
      <c r="O4" s="1355">
        <v>15722.490000000002</v>
      </c>
      <c r="P4" s="1481">
        <v>14936.3655</v>
      </c>
      <c r="Q4" s="1357">
        <v>14338.910879999998</v>
      </c>
      <c r="R4" s="1357">
        <v>14195.521771199998</v>
      </c>
    </row>
    <row r="5" spans="1:18">
      <c r="A5" s="1339" t="s">
        <v>536</v>
      </c>
      <c r="B5" s="1351">
        <v>-2200</v>
      </c>
      <c r="C5" s="1339" t="s">
        <v>536</v>
      </c>
      <c r="D5" s="1352">
        <v>1980</v>
      </c>
      <c r="E5" s="1352">
        <v>-1980</v>
      </c>
      <c r="F5" s="1358">
        <v>962.54000000000451</v>
      </c>
      <c r="G5" s="1353">
        <v>-962.54000000000451</v>
      </c>
      <c r="H5" s="1353">
        <v>542.1590269352273</v>
      </c>
      <c r="I5" s="1352">
        <v>-542.1590269352273</v>
      </c>
      <c r="J5" s="1354">
        <v>0</v>
      </c>
      <c r="K5" s="1354">
        <v>0</v>
      </c>
      <c r="L5" s="1352">
        <v>0</v>
      </c>
      <c r="M5" s="1354">
        <v>0</v>
      </c>
      <c r="N5" s="1354">
        <v>0</v>
      </c>
      <c r="O5" s="1352">
        <v>0</v>
      </c>
      <c r="P5" s="1482">
        <v>0</v>
      </c>
      <c r="Q5" s="1359">
        <v>0</v>
      </c>
      <c r="R5" s="1359">
        <v>0</v>
      </c>
    </row>
    <row r="6" spans="1:18">
      <c r="A6" s="1339" t="s">
        <v>534</v>
      </c>
      <c r="B6" s="1351">
        <v>16958.384783361147</v>
      </c>
      <c r="C6" s="1339" t="s">
        <v>534</v>
      </c>
      <c r="D6" s="1352">
        <v>21240.294437595032</v>
      </c>
      <c r="E6" s="1352">
        <v>21119.697668507702</v>
      </c>
      <c r="F6" s="1352">
        <v>21849.63</v>
      </c>
      <c r="G6" s="1353">
        <v>22836.04</v>
      </c>
      <c r="H6" s="1352">
        <v>22224</v>
      </c>
      <c r="I6" s="1354">
        <v>18942.210973064775</v>
      </c>
      <c r="J6" s="1354">
        <v>19580.559434848248</v>
      </c>
      <c r="K6" s="1354">
        <v>18494</v>
      </c>
      <c r="L6" s="1352">
        <v>17992</v>
      </c>
      <c r="M6" s="1354">
        <v>17320.475969894014</v>
      </c>
      <c r="N6" s="1354">
        <v>16406.698476500551</v>
      </c>
      <c r="O6" s="1352">
        <v>15722.490000000002</v>
      </c>
      <c r="P6" s="1482">
        <v>14936.3655</v>
      </c>
      <c r="Q6" s="1353">
        <v>14338.910879999998</v>
      </c>
      <c r="R6" s="1353">
        <v>14195.521771199998</v>
      </c>
    </row>
    <row r="7" spans="1:18">
      <c r="A7" s="1339" t="s">
        <v>535</v>
      </c>
      <c r="B7" s="1351">
        <v>16996.977564313529</v>
      </c>
      <c r="C7" s="1339" t="s">
        <v>535</v>
      </c>
      <c r="D7" s="1352">
        <v>21240.294437595032</v>
      </c>
      <c r="E7" s="1352">
        <v>21240.294437595032</v>
      </c>
      <c r="F7" s="1352">
        <v>21841.13</v>
      </c>
      <c r="G7" s="1353">
        <v>21035.62</v>
      </c>
      <c r="H7" s="1352">
        <v>21611.759999999998</v>
      </c>
      <c r="I7" s="1354">
        <v>19960.236000000001</v>
      </c>
      <c r="J7" s="1360">
        <v>19580.559434848248</v>
      </c>
      <c r="K7" s="1354">
        <v>18494</v>
      </c>
      <c r="L7" s="1352">
        <v>17992</v>
      </c>
      <c r="M7" s="1354">
        <v>17320.475969894014</v>
      </c>
      <c r="N7" s="1354">
        <v>16406.698476500551</v>
      </c>
      <c r="O7" s="1352">
        <v>15722.490000000002</v>
      </c>
      <c r="P7" s="1482">
        <v>14936.3655</v>
      </c>
      <c r="Q7" s="1353">
        <v>14338.910879999998</v>
      </c>
      <c r="R7" s="1353">
        <v>14195.521771199998</v>
      </c>
    </row>
    <row r="8" spans="1:18">
      <c r="A8" s="1339" t="s">
        <v>519</v>
      </c>
      <c r="B8" s="1351">
        <v>16950.077564313528</v>
      </c>
      <c r="C8" s="1339" t="s">
        <v>519</v>
      </c>
      <c r="D8" s="1352">
        <v>21208.98</v>
      </c>
      <c r="E8" s="1352">
        <v>21199.684437595031</v>
      </c>
      <c r="F8" s="1352">
        <v>21754.79</v>
      </c>
      <c r="G8" s="1353">
        <v>20954.559999999998</v>
      </c>
      <c r="H8" s="1353">
        <v>21496.76</v>
      </c>
      <c r="I8" s="1352">
        <v>19868.976000000002</v>
      </c>
      <c r="J8" s="1354">
        <v>19480.694987038725</v>
      </c>
      <c r="K8" s="1354">
        <v>18418</v>
      </c>
      <c r="L8" s="1352">
        <v>17907.095238095237</v>
      </c>
      <c r="M8" s="1354">
        <v>17232.475969894014</v>
      </c>
      <c r="N8" s="1354">
        <v>16348.818476500552</v>
      </c>
      <c r="O8" s="1352">
        <v>15664.610000000002</v>
      </c>
      <c r="P8" s="1482">
        <v>14878.485500000001</v>
      </c>
      <c r="Q8" s="1353">
        <v>14281.030879999998</v>
      </c>
      <c r="R8" s="1353">
        <v>14137.641771199998</v>
      </c>
    </row>
    <row r="9" spans="1:18">
      <c r="A9" s="1339" t="s">
        <v>484</v>
      </c>
      <c r="B9" s="1351">
        <v>46.9</v>
      </c>
      <c r="C9" s="1339" t="s">
        <v>484</v>
      </c>
      <c r="D9" s="1352">
        <v>31.33</v>
      </c>
      <c r="E9" s="1352">
        <v>40.61</v>
      </c>
      <c r="F9" s="1352">
        <v>86.34</v>
      </c>
      <c r="G9" s="1353">
        <v>81.06</v>
      </c>
      <c r="H9" s="1353">
        <v>115</v>
      </c>
      <c r="I9" s="1352">
        <v>91.26</v>
      </c>
      <c r="J9" s="1354">
        <v>99.86444780952381</v>
      </c>
      <c r="K9" s="1354">
        <v>76</v>
      </c>
      <c r="L9" s="1352">
        <v>84.904761904761898</v>
      </c>
      <c r="M9" s="1354">
        <v>88</v>
      </c>
      <c r="N9" s="1354">
        <v>57.88</v>
      </c>
      <c r="O9" s="1352">
        <v>57.88</v>
      </c>
      <c r="P9" s="1482">
        <v>57.88</v>
      </c>
      <c r="Q9" s="1353">
        <v>57.88</v>
      </c>
      <c r="R9" s="1353">
        <v>57.88</v>
      </c>
    </row>
    <row r="10" spans="1:18">
      <c r="A10" s="1339" t="s">
        <v>525</v>
      </c>
      <c r="B10" s="1361">
        <v>4.2299999999999997E-2</v>
      </c>
      <c r="C10" s="1339" t="s">
        <v>525</v>
      </c>
      <c r="D10" s="1362">
        <v>5.9200000000000003E-2</v>
      </c>
      <c r="E10" s="1362">
        <v>4.53E-2</v>
      </c>
      <c r="F10" s="1363">
        <v>0</v>
      </c>
      <c r="G10" s="1364">
        <v>0</v>
      </c>
      <c r="H10" s="1364">
        <v>0</v>
      </c>
      <c r="I10" s="1365">
        <v>0</v>
      </c>
      <c r="J10" s="1366">
        <v>0</v>
      </c>
      <c r="K10" s="1366">
        <v>1.5699999999999999E-2</v>
      </c>
      <c r="L10" s="1365">
        <v>8.6E-3</v>
      </c>
      <c r="M10" s="1367">
        <v>1.0200000000000001E-2</v>
      </c>
      <c r="N10" s="1367">
        <v>0</v>
      </c>
      <c r="O10" s="1365">
        <v>1.5599999999999999E-2</v>
      </c>
      <c r="P10" s="1483">
        <v>2.7099999999999999E-2</v>
      </c>
      <c r="Q10" s="1364">
        <v>2.5700000000000001E-2</v>
      </c>
      <c r="R10" s="1364">
        <v>2.6700000000000002E-2</v>
      </c>
    </row>
    <row r="11" spans="1:18">
      <c r="A11" s="1339" t="s">
        <v>485</v>
      </c>
      <c r="B11" s="1368"/>
      <c r="C11" s="1339" t="s">
        <v>485</v>
      </c>
      <c r="D11" s="825">
        <v>9000000</v>
      </c>
      <c r="E11" s="825">
        <v>9532800</v>
      </c>
      <c r="F11" s="825">
        <v>9964635.8399999999</v>
      </c>
      <c r="G11" s="1369">
        <v>9964635.8399999999</v>
      </c>
      <c r="H11" s="1369">
        <v>9964635.8399999999</v>
      </c>
      <c r="I11" s="825">
        <v>9964635.8399999999</v>
      </c>
      <c r="J11" s="824">
        <v>9964635.8399999999</v>
      </c>
      <c r="K11" s="824">
        <v>9964635.8399999999</v>
      </c>
      <c r="L11" s="825">
        <v>10121080.622688001</v>
      </c>
      <c r="M11" s="824">
        <v>10208121.916043118</v>
      </c>
      <c r="N11" s="824">
        <v>10312244.759586757</v>
      </c>
      <c r="O11" s="825">
        <v>10312244.759586757</v>
      </c>
      <c r="P11" s="1484">
        <v>10473115.777836312</v>
      </c>
      <c r="Q11" s="1369">
        <v>10756937.215415675</v>
      </c>
      <c r="R11" s="1369">
        <v>11033390.501851859</v>
      </c>
    </row>
    <row r="12" spans="1:18">
      <c r="A12" s="1339" t="s">
        <v>486</v>
      </c>
      <c r="B12" s="1370">
        <v>4122.92</v>
      </c>
      <c r="C12" s="1339" t="s">
        <v>486</v>
      </c>
      <c r="D12" s="1053">
        <v>4367</v>
      </c>
      <c r="E12" s="1371">
        <v>4564.83</v>
      </c>
      <c r="F12" s="825">
        <v>4564.83</v>
      </c>
      <c r="G12" s="1369">
        <v>4564.83</v>
      </c>
      <c r="H12" s="1369">
        <v>4564.83</v>
      </c>
      <c r="I12" s="825">
        <v>4564.83</v>
      </c>
      <c r="J12" s="824">
        <v>4564.83</v>
      </c>
      <c r="K12" s="824">
        <v>4636.4978310000006</v>
      </c>
      <c r="L12" s="825">
        <v>4676.3717123466004</v>
      </c>
      <c r="M12" s="824">
        <v>4724.0707038125356</v>
      </c>
      <c r="N12" s="824">
        <v>4724.0707038125356</v>
      </c>
      <c r="O12" s="825">
        <v>4797.7662067920119</v>
      </c>
      <c r="P12" s="1484">
        <v>4927.7856709960752</v>
      </c>
      <c r="Q12" s="1369">
        <v>5054.429762740675</v>
      </c>
      <c r="R12" s="1369">
        <v>5189.3830374058507</v>
      </c>
    </row>
    <row r="13" spans="1:18">
      <c r="A13" s="1339" t="s">
        <v>487</v>
      </c>
      <c r="B13" s="1370">
        <v>2479.23</v>
      </c>
      <c r="C13" s="1339" t="s">
        <v>487</v>
      </c>
      <c r="D13" s="1053">
        <v>2626</v>
      </c>
      <c r="E13" s="1372">
        <v>2744.9578000000001</v>
      </c>
      <c r="F13" s="1053">
        <v>2744.9578000000001</v>
      </c>
      <c r="G13" s="1373">
        <v>2744.9578000000001</v>
      </c>
      <c r="H13" s="1373">
        <v>2744.9578000000001</v>
      </c>
      <c r="I13" s="1053">
        <v>2744.9578000000001</v>
      </c>
      <c r="J13" s="769">
        <v>2744.9578000000001</v>
      </c>
      <c r="K13" s="769">
        <v>2788.0536374600001</v>
      </c>
      <c r="L13" s="1053">
        <v>2812.0308987421558</v>
      </c>
      <c r="M13" s="769">
        <v>2840.7136139093259</v>
      </c>
      <c r="N13" s="769">
        <v>2840.7136139093259</v>
      </c>
      <c r="O13" s="1053">
        <v>2885.0287462863116</v>
      </c>
      <c r="P13" s="1485">
        <v>2963.2130253106702</v>
      </c>
      <c r="Q13" s="1373">
        <v>3039.3676000611545</v>
      </c>
      <c r="R13" s="1373">
        <v>3120.5187149827871</v>
      </c>
    </row>
    <row r="14" spans="1:18">
      <c r="A14" s="1339"/>
      <c r="B14" s="1368"/>
      <c r="C14" s="183"/>
      <c r="D14" s="183"/>
      <c r="E14" s="183"/>
      <c r="F14" s="183"/>
      <c r="G14" s="1374"/>
      <c r="H14" s="1374"/>
      <c r="I14" s="183"/>
      <c r="J14" s="1339"/>
      <c r="K14" s="1339"/>
      <c r="L14" s="183"/>
      <c r="M14" s="1339"/>
      <c r="N14" s="1339"/>
      <c r="O14" s="183"/>
      <c r="P14" s="1486"/>
      <c r="Q14" s="1374"/>
      <c r="R14" s="1374"/>
    </row>
    <row r="15" spans="1:18">
      <c r="A15" s="1339" t="s">
        <v>521</v>
      </c>
      <c r="B15" s="1375">
        <v>88229284</v>
      </c>
      <c r="C15" s="183" t="s">
        <v>488</v>
      </c>
      <c r="D15" s="825">
        <v>9000000</v>
      </c>
      <c r="E15" s="825">
        <v>9532800</v>
      </c>
      <c r="F15" s="825">
        <v>9964634.8399999999</v>
      </c>
      <c r="G15" s="1369">
        <v>9964634.8399999999</v>
      </c>
      <c r="H15" s="1369">
        <v>9964634.8399999999</v>
      </c>
      <c r="I15" s="825">
        <v>9964634.8399999999</v>
      </c>
      <c r="J15" s="824">
        <v>9964634.8399999999</v>
      </c>
      <c r="K15" s="824">
        <v>9964634.8399999999</v>
      </c>
      <c r="L15" s="825">
        <v>10121079.606988</v>
      </c>
      <c r="M15" s="824">
        <v>10208120.891608097</v>
      </c>
      <c r="N15" s="824">
        <v>10312243.7247025</v>
      </c>
      <c r="O15" s="825">
        <v>10312243.7247025</v>
      </c>
      <c r="P15" s="1484">
        <v>10473114.726807859</v>
      </c>
      <c r="Q15" s="1369">
        <v>10756936.135904351</v>
      </c>
      <c r="R15" s="1369">
        <v>11033389.394597095</v>
      </c>
    </row>
    <row r="16" spans="1:18">
      <c r="A16" s="1339" t="s">
        <v>525</v>
      </c>
      <c r="B16" s="1375">
        <v>3792487</v>
      </c>
      <c r="C16" s="183" t="s">
        <v>489</v>
      </c>
      <c r="D16" s="825">
        <v>70000089.678459525</v>
      </c>
      <c r="E16" s="825">
        <v>92701888.239999995</v>
      </c>
      <c r="F16" s="825">
        <v>96333851.498092011</v>
      </c>
      <c r="G16" s="1369">
        <v>99543917.692152008</v>
      </c>
      <c r="H16" s="1369">
        <v>95876510.404067978</v>
      </c>
      <c r="I16" s="1355">
        <v>98429909.097799987</v>
      </c>
      <c r="J16" s="824">
        <v>90949002.562908009</v>
      </c>
      <c r="K16" s="824">
        <v>89200184.592641428</v>
      </c>
      <c r="L16" s="825">
        <v>85606909.12780498</v>
      </c>
      <c r="M16" s="824">
        <v>83978988.435651615</v>
      </c>
      <c r="N16" s="1376">
        <v>81657417.681553841</v>
      </c>
      <c r="O16" s="1371">
        <v>77397394.910758421</v>
      </c>
      <c r="P16" s="1556">
        <v>75322121.964411274</v>
      </c>
      <c r="Q16" s="1520">
        <v>73489498.422927871</v>
      </c>
      <c r="R16" s="1520">
        <v>72358386.119182184</v>
      </c>
    </row>
    <row r="17" spans="1:18">
      <c r="A17" s="1339"/>
      <c r="B17" s="1375"/>
      <c r="C17" s="183" t="s">
        <v>159</v>
      </c>
      <c r="D17" s="825"/>
      <c r="E17" s="825">
        <v>-12813649.980000002</v>
      </c>
      <c r="F17" s="825"/>
      <c r="G17" s="1369"/>
      <c r="H17" s="1369"/>
      <c r="I17" s="825"/>
      <c r="J17" s="824"/>
      <c r="K17" s="824"/>
      <c r="L17" s="825"/>
      <c r="M17" s="824"/>
      <c r="N17" s="824"/>
      <c r="O17" s="825"/>
      <c r="P17" s="1484"/>
      <c r="Q17" s="1369"/>
      <c r="R17" s="1369"/>
    </row>
    <row r="18" spans="1:18">
      <c r="A18" s="1339" t="s">
        <v>523</v>
      </c>
      <c r="B18" s="1375">
        <v>298250</v>
      </c>
      <c r="C18" s="183" t="s">
        <v>525</v>
      </c>
      <c r="D18" s="825">
        <v>4676805.3089648038</v>
      </c>
      <c r="E18" s="825">
        <v>4050773.0331779998</v>
      </c>
      <c r="F18" s="825">
        <v>0</v>
      </c>
      <c r="G18" s="1369">
        <v>0</v>
      </c>
      <c r="H18" s="1369">
        <v>0</v>
      </c>
      <c r="I18" s="825">
        <v>0</v>
      </c>
      <c r="J18" s="824">
        <v>0</v>
      </c>
      <c r="K18" s="824">
        <v>1556887.6650924704</v>
      </c>
      <c r="L18" s="825">
        <v>823260.70311921963</v>
      </c>
      <c r="M18" s="824">
        <v>960708.51513804926</v>
      </c>
      <c r="N18" s="824">
        <v>0</v>
      </c>
      <c r="O18" s="825">
        <v>1368270.3627131903</v>
      </c>
      <c r="P18" s="1484">
        <v>2325050.9143320387</v>
      </c>
      <c r="Q18" s="1369">
        <v>2165133.3681619884</v>
      </c>
      <c r="R18" s="1369">
        <v>2226560.4062179071</v>
      </c>
    </row>
    <row r="19" spans="1:18">
      <c r="A19" s="1339" t="s">
        <v>490</v>
      </c>
      <c r="B19" s="1375">
        <v>-15515514.408069808</v>
      </c>
      <c r="C19" s="183" t="s">
        <v>456</v>
      </c>
      <c r="D19" s="825">
        <v>18557740.116642822</v>
      </c>
      <c r="E19" s="825">
        <v>0</v>
      </c>
      <c r="F19" s="825">
        <v>3209960.1940599913</v>
      </c>
      <c r="G19" s="1369">
        <v>-3667509.2880840143</v>
      </c>
      <c r="H19" s="1369">
        <v>2568214.6937320032</v>
      </c>
      <c r="I19" s="825">
        <v>-7525230</v>
      </c>
      <c r="J19" s="824">
        <v>-1748817.9702665815</v>
      </c>
      <c r="K19" s="824">
        <v>-4927183.0024196235</v>
      </c>
      <c r="L19" s="825">
        <v>-2389180.5762746101</v>
      </c>
      <c r="M19" s="824">
        <v>-3186949.1211368465</v>
      </c>
      <c r="N19" s="1376">
        <v>-4174460.4767444758</v>
      </c>
      <c r="O19" s="1371">
        <v>-3282672.3069549818</v>
      </c>
      <c r="P19" s="1484"/>
      <c r="Q19" s="1369"/>
      <c r="R19" s="1369"/>
    </row>
    <row r="20" spans="1:18">
      <c r="A20" s="1339" t="s">
        <v>527</v>
      </c>
      <c r="B20" s="1375">
        <v>15795055.408069808</v>
      </c>
      <c r="C20" s="183" t="s">
        <v>160</v>
      </c>
      <c r="D20" s="1053">
        <v>0</v>
      </c>
      <c r="E20" s="1053">
        <v>13394109</v>
      </c>
      <c r="F20" s="825">
        <v>0</v>
      </c>
      <c r="G20" s="1369">
        <v>0</v>
      </c>
      <c r="H20" s="1369">
        <v>0</v>
      </c>
      <c r="I20" s="825">
        <v>0</v>
      </c>
      <c r="J20" s="824">
        <v>0</v>
      </c>
      <c r="K20" s="824">
        <v>0</v>
      </c>
      <c r="L20" s="825">
        <v>0</v>
      </c>
      <c r="M20" s="824">
        <v>0</v>
      </c>
      <c r="N20" s="824">
        <v>0</v>
      </c>
      <c r="O20" s="825">
        <v>0</v>
      </c>
      <c r="P20" s="1484"/>
      <c r="Q20" s="1369"/>
      <c r="R20" s="1369"/>
    </row>
    <row r="21" spans="1:18">
      <c r="A21" s="1339"/>
      <c r="B21" s="1368"/>
      <c r="C21" s="183"/>
      <c r="D21" s="825"/>
      <c r="E21" s="825"/>
      <c r="F21" s="825"/>
      <c r="G21" s="1369"/>
      <c r="H21" s="1369"/>
      <c r="I21" s="825"/>
      <c r="J21" s="824"/>
      <c r="K21" s="824"/>
      <c r="L21" s="1377"/>
      <c r="M21" s="824"/>
      <c r="N21" s="824"/>
      <c r="O21" s="1507"/>
      <c r="P21" s="1484"/>
      <c r="Q21" s="1369"/>
      <c r="R21" s="1369"/>
    </row>
    <row r="22" spans="1:18">
      <c r="A22" s="1339"/>
      <c r="B22" s="1378">
        <v>92599562</v>
      </c>
      <c r="C22" s="183"/>
      <c r="D22" s="819">
        <v>102234635.10406715</v>
      </c>
      <c r="E22" s="819">
        <v>106865920.29317799</v>
      </c>
      <c r="F22" s="819">
        <v>109508446.53215201</v>
      </c>
      <c r="G22" s="1379">
        <v>105841043.244068</v>
      </c>
      <c r="H22" s="1379">
        <v>108409359.93779999</v>
      </c>
      <c r="I22" s="819">
        <v>100869313.93779999</v>
      </c>
      <c r="J22" s="1004">
        <v>99164819.432641432</v>
      </c>
      <c r="K22" s="1004">
        <v>95794524.095314279</v>
      </c>
      <c r="L22" s="1380">
        <v>94162068.861637592</v>
      </c>
      <c r="M22" s="1004">
        <v>91960868.72126092</v>
      </c>
      <c r="N22" s="1004">
        <v>87795200.929511875</v>
      </c>
      <c r="O22" s="1380">
        <v>85795236.691219121</v>
      </c>
      <c r="P22" s="1487">
        <v>88120287.605551168</v>
      </c>
      <c r="Q22" s="1379">
        <v>86411567.926994219</v>
      </c>
      <c r="R22" s="1379">
        <v>85618335.919997185</v>
      </c>
    </row>
    <row r="23" spans="1:18">
      <c r="A23" s="1339"/>
      <c r="B23" s="1381"/>
      <c r="C23" s="183"/>
      <c r="D23" s="1382">
        <v>0.1040509576499633</v>
      </c>
      <c r="E23" s="1382">
        <v>4.5300549900692211E-2</v>
      </c>
      <c r="F23" s="1382">
        <v>2.4727492466489531E-2</v>
      </c>
      <c r="G23" s="1383">
        <v>-3.3489684167944511E-2</v>
      </c>
      <c r="H23" s="1383">
        <v>2.4265791558852001E-2</v>
      </c>
      <c r="I23" s="1382">
        <v>-6.9551614402355244E-2</v>
      </c>
      <c r="J23" s="1384">
        <v>-1.6898047965406171E-2</v>
      </c>
      <c r="K23" s="1384">
        <v>-3.3986804560426354E-2</v>
      </c>
      <c r="L23" s="1382">
        <v>-1.7041216594514519E-2</v>
      </c>
      <c r="M23" s="1384">
        <v>-2.3376718109402783E-2</v>
      </c>
      <c r="N23" s="1384">
        <v>-4.5298264899774288E-2</v>
      </c>
      <c r="O23" s="1382">
        <v>-2.2779881099633914E-2</v>
      </c>
      <c r="P23" s="1488">
        <v>2.7100000000000124E-2</v>
      </c>
      <c r="Q23" s="1383">
        <v>-1.9390763750177675E-2</v>
      </c>
      <c r="R23" s="1383">
        <v>-9.1796969552410124E-3</v>
      </c>
    </row>
    <row r="24" spans="1:18">
      <c r="A24" s="1339"/>
      <c r="B24" s="1368"/>
      <c r="C24" s="183"/>
      <c r="D24" s="1380"/>
      <c r="E24" s="183"/>
      <c r="F24" s="183"/>
      <c r="G24" s="1374"/>
      <c r="H24" s="1374"/>
      <c r="I24" s="183"/>
      <c r="J24" s="1339"/>
      <c r="K24" s="1339"/>
      <c r="L24" s="183"/>
      <c r="M24" s="1339"/>
      <c r="N24" s="1339"/>
      <c r="O24" s="183"/>
      <c r="P24" s="1486"/>
      <c r="Q24" s="1374"/>
      <c r="R24" s="1374"/>
    </row>
    <row r="25" spans="1:18">
      <c r="A25" s="1339" t="s">
        <v>491</v>
      </c>
      <c r="B25" s="1381">
        <v>9000000</v>
      </c>
      <c r="C25" s="1339" t="s">
        <v>491</v>
      </c>
      <c r="D25" s="1380">
        <v>9532800</v>
      </c>
      <c r="E25" s="1380">
        <v>9964635.8399999999</v>
      </c>
      <c r="F25" s="1380">
        <v>9964634.8399999999</v>
      </c>
      <c r="G25" s="1385">
        <v>9964634.8399999999</v>
      </c>
      <c r="H25" s="1385">
        <v>9964634.8399999999</v>
      </c>
      <c r="I25" s="1380">
        <v>9964634.8399999999</v>
      </c>
      <c r="J25" s="1386">
        <v>9964634.8399999999</v>
      </c>
      <c r="K25" s="1386">
        <v>10121079.606988</v>
      </c>
      <c r="L25" s="1380">
        <v>10208120.891608097</v>
      </c>
      <c r="M25" s="1386">
        <v>10312243.7247025</v>
      </c>
      <c r="N25" s="1386">
        <v>10312243.7247025</v>
      </c>
      <c r="O25" s="1380">
        <v>10473114.726807859</v>
      </c>
      <c r="P25" s="1489">
        <v>10756936.135904351</v>
      </c>
      <c r="Q25" s="1385">
        <v>11033389.394597095</v>
      </c>
      <c r="R25" s="1385">
        <v>11327980.891432837</v>
      </c>
    </row>
    <row r="26" spans="1:18">
      <c r="A26" s="1339" t="s">
        <v>492</v>
      </c>
      <c r="B26" s="1381">
        <v>83599562</v>
      </c>
      <c r="C26" s="1339" t="s">
        <v>492</v>
      </c>
      <c r="D26" s="1380">
        <v>92701835.104067147</v>
      </c>
      <c r="E26" s="1380">
        <v>96901284.453177989</v>
      </c>
      <c r="F26" s="1380">
        <v>99543811.692152008</v>
      </c>
      <c r="G26" s="1385">
        <v>95876408.404067993</v>
      </c>
      <c r="H26" s="1385">
        <v>98444725.097799987</v>
      </c>
      <c r="I26" s="1380">
        <v>90904679.097799987</v>
      </c>
      <c r="J26" s="1386">
        <v>89200184.592641428</v>
      </c>
      <c r="K26" s="1386">
        <v>85673444.488326281</v>
      </c>
      <c r="L26" s="1380">
        <v>83953947.970029503</v>
      </c>
      <c r="M26" s="1386">
        <v>81648624.996558428</v>
      </c>
      <c r="N26" s="1386">
        <v>77482957.204809368</v>
      </c>
      <c r="O26" s="1380">
        <v>75322121.964411259</v>
      </c>
      <c r="P26" s="1489">
        <v>77363351.469646811</v>
      </c>
      <c r="Q26" s="1385">
        <v>75378178.532397121</v>
      </c>
      <c r="R26" s="1385">
        <v>74290355.028564349</v>
      </c>
    </row>
    <row r="27" spans="1:18">
      <c r="A27" s="1339" t="s">
        <v>493</v>
      </c>
      <c r="B27" s="1375">
        <v>4918.4957551231792</v>
      </c>
      <c r="C27" s="1339" t="s">
        <v>493</v>
      </c>
      <c r="D27" s="825">
        <v>4364.4326766010436</v>
      </c>
      <c r="E27" s="825">
        <v>4562.1441236550863</v>
      </c>
      <c r="F27" s="825">
        <v>4557.6310242259442</v>
      </c>
      <c r="G27" s="1369">
        <v>4557.8123394541262</v>
      </c>
      <c r="H27" s="1369">
        <v>4555.1461379267585</v>
      </c>
      <c r="I27" s="825">
        <v>4554.2887918659872</v>
      </c>
      <c r="J27" s="824">
        <v>4555.5483176792459</v>
      </c>
      <c r="K27" s="824">
        <v>4632.4994316170805</v>
      </c>
      <c r="L27" s="825">
        <v>4666.1820792590879</v>
      </c>
      <c r="M27" s="824">
        <v>4713.9943000687672</v>
      </c>
      <c r="N27" s="824">
        <v>4722.6416281001839</v>
      </c>
      <c r="O27" s="825">
        <v>4790.7247493502146</v>
      </c>
      <c r="P27" s="1484">
        <v>5179.5298842711645</v>
      </c>
      <c r="Q27" s="1369">
        <v>5256.8970658388762</v>
      </c>
      <c r="R27" s="1369">
        <v>5233.3655800722518</v>
      </c>
    </row>
    <row r="28" spans="1:18">
      <c r="A28" s="1387" t="s">
        <v>494</v>
      </c>
      <c r="B28" s="1388">
        <v>4363.6017829960974</v>
      </c>
      <c r="C28" s="1387" t="s">
        <v>494</v>
      </c>
      <c r="D28" s="1377">
        <v>4813.1058122932054</v>
      </c>
      <c r="E28" s="1377">
        <v>4194.9157016581012</v>
      </c>
      <c r="F28" s="1377">
        <v>4765.8056575689588</v>
      </c>
      <c r="G28" s="1389">
        <v>4028.6608866607994</v>
      </c>
      <c r="H28" s="1389">
        <v>4540.4227998949582</v>
      </c>
      <c r="I28" s="1377">
        <v>4665.5180073977235</v>
      </c>
      <c r="J28" s="1390">
        <v>4555.5483176792459</v>
      </c>
      <c r="K28" s="1390">
        <v>4632.4994316170805</v>
      </c>
      <c r="L28" s="1377">
        <v>4666.1820792590879</v>
      </c>
      <c r="M28" s="1390">
        <v>4713.9943000687672</v>
      </c>
      <c r="N28" s="1390">
        <v>4722.6416281001839</v>
      </c>
      <c r="O28" s="1507">
        <v>4790.7247493502146</v>
      </c>
      <c r="P28" s="1490">
        <v>5179.5298842711645</v>
      </c>
      <c r="Q28" s="1389">
        <v>5256.8970658388762</v>
      </c>
      <c r="R28" s="1389">
        <v>5233.3655800722518</v>
      </c>
    </row>
    <row r="29" spans="1:18">
      <c r="J29" s="1339"/>
      <c r="K29" s="1356"/>
      <c r="L29" s="1355"/>
      <c r="M29" s="1356"/>
      <c r="N29" s="1356"/>
      <c r="O29" s="1355"/>
      <c r="P29" s="1481"/>
      <c r="Q29" s="1357"/>
      <c r="R29" s="1357"/>
    </row>
    <row r="30" spans="1:18" s="183" customFormat="1">
      <c r="C30" s="183" t="s">
        <v>346</v>
      </c>
      <c r="D30" s="1380"/>
      <c r="E30" s="1380"/>
      <c r="F30" s="1391">
        <v>8.5</v>
      </c>
      <c r="G30" s="1355">
        <v>1800.4200000000019</v>
      </c>
      <c r="H30" s="1355">
        <v>612.2400000000016</v>
      </c>
      <c r="I30" s="1355">
        <v>0</v>
      </c>
      <c r="J30" s="1356">
        <v>0</v>
      </c>
      <c r="K30" s="1356">
        <v>0</v>
      </c>
      <c r="L30" s="1355">
        <v>0</v>
      </c>
      <c r="M30" s="1356">
        <v>0</v>
      </c>
      <c r="N30" s="1356">
        <v>0</v>
      </c>
      <c r="O30" s="1355">
        <v>0</v>
      </c>
      <c r="P30" s="1481"/>
      <c r="Q30" s="1355"/>
      <c r="R30" s="1355"/>
    </row>
    <row r="31" spans="1:18" s="183" customFormat="1">
      <c r="C31" s="183" t="s">
        <v>347</v>
      </c>
      <c r="E31" s="1380"/>
      <c r="F31" s="1380">
        <v>38801.055</v>
      </c>
      <c r="G31" s="1380">
        <v>8218611.2286000084</v>
      </c>
      <c r="H31" s="1380">
        <v>2794771.5192000074</v>
      </c>
      <c r="I31" s="1380">
        <v>0</v>
      </c>
      <c r="J31" s="1386">
        <v>0</v>
      </c>
      <c r="K31" s="1386">
        <v>0</v>
      </c>
      <c r="L31" s="1380">
        <v>0</v>
      </c>
      <c r="M31" s="1386">
        <v>0</v>
      </c>
      <c r="N31" s="1386">
        <v>0</v>
      </c>
      <c r="O31" s="1380">
        <v>0</v>
      </c>
      <c r="P31" s="1489"/>
      <c r="Q31" s="1380"/>
      <c r="R31" s="1380"/>
    </row>
    <row r="32" spans="1:18" s="183" customFormat="1">
      <c r="F32" s="1392"/>
      <c r="G32" s="1392"/>
      <c r="H32" s="1392"/>
      <c r="J32" s="1339"/>
      <c r="K32" s="1339"/>
      <c r="M32" s="1339"/>
      <c r="N32" s="1339"/>
      <c r="P32" s="1486"/>
    </row>
    <row r="33" spans="1:31" s="183" customFormat="1" ht="13.5" thickBot="1">
      <c r="C33" s="183" t="s">
        <v>708</v>
      </c>
      <c r="E33" s="1393">
        <v>0.99632295309999996</v>
      </c>
      <c r="F33" s="1393">
        <v>0.98810121009999996</v>
      </c>
      <c r="G33" s="1394">
        <v>0.9986783694160758</v>
      </c>
      <c r="H33" s="1394">
        <v>0.9946960427</v>
      </c>
      <c r="I33" s="1394">
        <v>1</v>
      </c>
      <c r="J33" s="1395">
        <v>1</v>
      </c>
      <c r="K33" s="1395">
        <v>1</v>
      </c>
      <c r="L33" s="1394">
        <v>1</v>
      </c>
      <c r="M33" s="1395">
        <v>1</v>
      </c>
      <c r="N33" s="1395">
        <v>1</v>
      </c>
      <c r="O33" s="1509">
        <v>1</v>
      </c>
      <c r="P33" s="1491">
        <v>1</v>
      </c>
      <c r="Q33" s="1394">
        <v>1</v>
      </c>
      <c r="R33" s="1394">
        <v>1</v>
      </c>
    </row>
    <row r="34" spans="1:31" s="183" customFormat="1" ht="13.5" thickBot="1">
      <c r="C34" s="1396" t="s">
        <v>221</v>
      </c>
      <c r="D34" s="1397"/>
      <c r="E34" s="1398">
        <v>106472969.29224831</v>
      </c>
      <c r="F34" s="1398">
        <v>108205428.53459054</v>
      </c>
      <c r="G34" s="1398">
        <v>105701160.4842822</v>
      </c>
      <c r="H34" s="1398">
        <v>107834361.32176957</v>
      </c>
      <c r="I34" s="1399">
        <v>100869313.93779999</v>
      </c>
      <c r="J34" s="1400">
        <v>99164819.432641432</v>
      </c>
      <c r="K34" s="1400">
        <v>95794524.095314279</v>
      </c>
      <c r="L34" s="1401">
        <v>94162068.861637592</v>
      </c>
      <c r="M34" s="1400">
        <v>91960868.72126092</v>
      </c>
      <c r="N34" s="1610">
        <v>87795200.929511875</v>
      </c>
      <c r="O34" s="1508">
        <v>85795236.691219121</v>
      </c>
      <c r="P34" s="1557">
        <v>88120287.605551168</v>
      </c>
      <c r="Q34" s="1516">
        <v>86411567.926994219</v>
      </c>
      <c r="R34" s="1516">
        <v>85618335.919997185</v>
      </c>
      <c r="S34" s="183" t="s">
        <v>1510</v>
      </c>
      <c r="T34" s="183" t="s">
        <v>1511</v>
      </c>
      <c r="U34" s="1473" t="s">
        <v>1635</v>
      </c>
      <c r="V34" s="1473"/>
      <c r="W34" s="1473"/>
      <c r="X34" s="1473"/>
      <c r="Y34" s="1473"/>
      <c r="Z34" s="1473"/>
      <c r="AA34" s="1473"/>
      <c r="AB34" s="1473"/>
      <c r="AC34" s="1473"/>
      <c r="AD34" s="1473"/>
      <c r="AE34" s="1473"/>
    </row>
    <row r="35" spans="1:31" s="183" customFormat="1">
      <c r="E35" s="1380">
        <v>-392951.00092968345</v>
      </c>
      <c r="F35" s="1380">
        <v>-1303017.9975614697</v>
      </c>
      <c r="G35" s="1380">
        <v>-139882.75978580117</v>
      </c>
      <c r="H35" s="1380">
        <v>-574998.61603042483</v>
      </c>
      <c r="I35" s="1380">
        <v>0</v>
      </c>
      <c r="J35" s="1386">
        <v>0</v>
      </c>
      <c r="K35" s="1386">
        <v>0</v>
      </c>
      <c r="L35" s="1380">
        <v>0</v>
      </c>
      <c r="M35" s="1386">
        <v>0</v>
      </c>
      <c r="N35" s="1386">
        <v>0</v>
      </c>
      <c r="O35" s="1380">
        <v>0</v>
      </c>
      <c r="P35" s="1489"/>
      <c r="Q35" s="1380"/>
      <c r="R35" s="1380"/>
    </row>
    <row r="36" spans="1:31" s="183" customFormat="1">
      <c r="E36" s="1371"/>
      <c r="J36" s="1339"/>
      <c r="K36" s="1356"/>
      <c r="M36" s="1339"/>
      <c r="P36" s="1486"/>
    </row>
    <row r="37" spans="1:31" s="1402" customFormat="1">
      <c r="D37" s="1380"/>
      <c r="E37" s="1403"/>
      <c r="G37" s="825">
        <v>0</v>
      </c>
      <c r="H37" s="1403"/>
      <c r="I37" s="1403">
        <v>0</v>
      </c>
      <c r="J37" s="1404">
        <v>0</v>
      </c>
      <c r="K37" s="1405"/>
      <c r="M37" s="1406"/>
      <c r="P37" s="1493"/>
    </row>
    <row r="38" spans="1:31" s="1402" customFormat="1">
      <c r="E38" s="1403">
        <v>4609.2797758736524</v>
      </c>
      <c r="J38" s="1406"/>
      <c r="K38" s="1405"/>
      <c r="M38" s="1406"/>
      <c r="P38" s="1493"/>
    </row>
    <row r="39" spans="1:31" s="1407" customFormat="1">
      <c r="F39" s="1407">
        <v>107523473</v>
      </c>
      <c r="G39" s="820">
        <v>-1.3216305839241725E-3</v>
      </c>
      <c r="J39" s="1406"/>
      <c r="K39" s="1405"/>
      <c r="L39" s="1402"/>
      <c r="M39" s="1406"/>
      <c r="N39" s="1402"/>
      <c r="O39" s="1402"/>
      <c r="P39" s="1493"/>
    </row>
    <row r="40" spans="1:31" s="1407" customFormat="1">
      <c r="F40" s="1408">
        <v>681955.53459054232</v>
      </c>
      <c r="J40" s="1406"/>
      <c r="K40" s="1405"/>
      <c r="L40" s="1402"/>
      <c r="M40" s="1406"/>
      <c r="N40" s="1402"/>
      <c r="O40" s="1402"/>
      <c r="P40" s="1493"/>
    </row>
    <row r="41" spans="1:31" hidden="1">
      <c r="A41" s="820" t="s">
        <v>313</v>
      </c>
      <c r="C41" s="1409" t="s">
        <v>276</v>
      </c>
      <c r="J41" s="1339"/>
      <c r="K41" s="1356"/>
      <c r="L41" s="183"/>
      <c r="M41" s="1339"/>
      <c r="N41" s="183"/>
      <c r="O41" s="183"/>
      <c r="P41" s="1486"/>
    </row>
    <row r="42" spans="1:31" hidden="1">
      <c r="J42" s="1339"/>
      <c r="K42" s="1356"/>
      <c r="L42" s="183"/>
      <c r="M42" s="1339"/>
      <c r="N42" s="183"/>
      <c r="O42" s="183"/>
      <c r="P42" s="1486"/>
    </row>
    <row r="43" spans="1:31" hidden="1">
      <c r="A43" s="820" t="s">
        <v>314</v>
      </c>
      <c r="J43" s="1339"/>
      <c r="K43" s="1356"/>
      <c r="L43" s="183"/>
      <c r="M43" s="1339"/>
      <c r="N43" s="183"/>
      <c r="O43" s="183"/>
      <c r="P43" s="1486"/>
    </row>
    <row r="44" spans="1:31" hidden="1">
      <c r="A44" s="820" t="s">
        <v>315</v>
      </c>
      <c r="C44" s="1357">
        <v>637430</v>
      </c>
      <c r="D44" s="820" t="s">
        <v>279</v>
      </c>
      <c r="J44" s="1339"/>
      <c r="K44" s="1356"/>
      <c r="L44" s="183"/>
      <c r="M44" s="1339"/>
      <c r="N44" s="183"/>
      <c r="O44" s="183"/>
      <c r="P44" s="1486"/>
    </row>
    <row r="45" spans="1:31" hidden="1">
      <c r="A45" s="820" t="s">
        <v>316</v>
      </c>
      <c r="C45" s="1357">
        <v>57713517</v>
      </c>
      <c r="J45" s="1339"/>
      <c r="K45" s="1356"/>
      <c r="L45" s="183"/>
      <c r="M45" s="1339"/>
      <c r="N45" s="183"/>
      <c r="O45" s="183"/>
      <c r="P45" s="1486"/>
    </row>
    <row r="46" spans="1:31" hidden="1">
      <c r="A46" s="820" t="s">
        <v>317</v>
      </c>
      <c r="C46" s="1357">
        <v>4199248</v>
      </c>
      <c r="J46" s="1339"/>
      <c r="K46" s="1356"/>
      <c r="L46" s="183"/>
      <c r="M46" s="1339"/>
      <c r="N46" s="183"/>
      <c r="O46" s="183"/>
      <c r="P46" s="1486"/>
    </row>
    <row r="47" spans="1:31" hidden="1">
      <c r="A47" s="820" t="s">
        <v>318</v>
      </c>
      <c r="C47" s="1357">
        <v>3051010</v>
      </c>
      <c r="J47" s="1339"/>
      <c r="K47" s="1356"/>
      <c r="L47" s="183"/>
      <c r="M47" s="1339"/>
      <c r="N47" s="183"/>
      <c r="O47" s="183"/>
      <c r="P47" s="1486"/>
    </row>
    <row r="48" spans="1:31" hidden="1">
      <c r="A48" s="820" t="s">
        <v>277</v>
      </c>
      <c r="C48" s="1357">
        <v>7233</v>
      </c>
      <c r="E48" s="1410">
        <v>65608438</v>
      </c>
      <c r="J48" s="1339"/>
      <c r="K48" s="1356"/>
      <c r="L48" s="183"/>
      <c r="M48" s="1339"/>
      <c r="N48" s="183"/>
      <c r="O48" s="183"/>
      <c r="P48" s="1486"/>
    </row>
    <row r="49" spans="1:27" hidden="1">
      <c r="C49" s="1357"/>
      <c r="J49" s="1339"/>
      <c r="K49" s="1356"/>
      <c r="L49" s="183"/>
      <c r="M49" s="1339"/>
      <c r="N49" s="183"/>
      <c r="O49" s="183"/>
      <c r="P49" s="1486"/>
    </row>
    <row r="50" spans="1:27" hidden="1">
      <c r="A50" s="820" t="s">
        <v>319</v>
      </c>
      <c r="B50" s="820" t="s">
        <v>621</v>
      </c>
      <c r="C50" s="1357">
        <v>2121351</v>
      </c>
      <c r="D50" s="820" t="s">
        <v>278</v>
      </c>
      <c r="J50" s="1339"/>
      <c r="K50" s="1356"/>
      <c r="L50" s="183"/>
      <c r="M50" s="1339"/>
      <c r="N50" s="183"/>
      <c r="O50" s="183"/>
      <c r="P50" s="1486"/>
    </row>
    <row r="51" spans="1:27" hidden="1">
      <c r="B51" s="820" t="s">
        <v>428</v>
      </c>
      <c r="C51" s="1357">
        <v>1014314</v>
      </c>
      <c r="J51" s="1339"/>
      <c r="K51" s="1356"/>
      <c r="L51" s="183"/>
      <c r="M51" s="1339"/>
      <c r="N51" s="183"/>
      <c r="O51" s="183"/>
      <c r="P51" s="1486"/>
    </row>
    <row r="52" spans="1:27" hidden="1">
      <c r="B52" s="820" t="s">
        <v>429</v>
      </c>
      <c r="C52" s="1357">
        <v>2525148</v>
      </c>
      <c r="E52" s="1410">
        <v>5660813</v>
      </c>
      <c r="J52" s="1339"/>
      <c r="K52" s="1356"/>
      <c r="L52" s="183"/>
      <c r="M52" s="1339"/>
      <c r="N52" s="183"/>
      <c r="O52" s="183"/>
      <c r="P52" s="1486"/>
    </row>
    <row r="53" spans="1:27" hidden="1">
      <c r="J53" s="1339"/>
      <c r="K53" s="1356"/>
      <c r="L53" s="183"/>
      <c r="M53" s="1339"/>
      <c r="N53" s="183"/>
      <c r="O53" s="183"/>
      <c r="P53" s="1486"/>
    </row>
    <row r="54" spans="1:27" hidden="1">
      <c r="A54" s="820" t="s">
        <v>320</v>
      </c>
      <c r="C54" s="1411" t="e">
        <v>#REF!</v>
      </c>
      <c r="J54" s="1339"/>
      <c r="K54" s="1356"/>
      <c r="L54" s="183"/>
      <c r="M54" s="1339"/>
      <c r="N54" s="183"/>
      <c r="O54" s="183"/>
      <c r="P54" s="1486"/>
    </row>
    <row r="55" spans="1:27" hidden="1">
      <c r="C55" s="1410" t="e">
        <v>#REF!</v>
      </c>
      <c r="J55" s="1339"/>
      <c r="K55" s="1356"/>
      <c r="L55" s="183"/>
      <c r="M55" s="1339"/>
      <c r="N55" s="183"/>
      <c r="O55" s="183"/>
      <c r="P55" s="1486"/>
    </row>
    <row r="56" spans="1:27">
      <c r="J56" s="1339"/>
      <c r="K56" s="1356"/>
      <c r="L56" s="183"/>
      <c r="M56" s="1339"/>
      <c r="N56" s="183"/>
      <c r="O56" s="183"/>
      <c r="P56" s="1486"/>
      <c r="R56" s="1415"/>
    </row>
    <row r="57" spans="1:27">
      <c r="C57" s="1412" t="s">
        <v>148</v>
      </c>
      <c r="F57" s="1340" t="s">
        <v>549</v>
      </c>
      <c r="G57" s="1374" t="s">
        <v>549</v>
      </c>
      <c r="H57" s="1374"/>
      <c r="I57" s="1339"/>
      <c r="J57" s="1339"/>
      <c r="K57" s="1339"/>
      <c r="L57" s="183"/>
      <c r="M57" s="1342" t="s">
        <v>1220</v>
      </c>
      <c r="N57" s="183"/>
      <c r="O57" s="183"/>
      <c r="P57" s="1486"/>
    </row>
    <row r="58" spans="1:27">
      <c r="F58" s="1346" t="s">
        <v>483</v>
      </c>
      <c r="G58" s="1347" t="s">
        <v>418</v>
      </c>
      <c r="H58" s="1347" t="s">
        <v>334</v>
      </c>
      <c r="I58" s="1348" t="s">
        <v>282</v>
      </c>
      <c r="J58" s="1348" t="s">
        <v>235</v>
      </c>
      <c r="K58" s="1413" t="s">
        <v>19</v>
      </c>
      <c r="L58" s="1346" t="s">
        <v>816</v>
      </c>
      <c r="M58" s="1414" t="s">
        <v>927</v>
      </c>
      <c r="N58" s="1414" t="s">
        <v>996</v>
      </c>
      <c r="O58" s="1519" t="s">
        <v>1015</v>
      </c>
      <c r="P58" s="1494" t="s">
        <v>1184</v>
      </c>
      <c r="Q58" s="1346" t="s">
        <v>1485</v>
      </c>
      <c r="R58" s="1346" t="s">
        <v>1633</v>
      </c>
    </row>
    <row r="59" spans="1:27">
      <c r="C59" s="820" t="s">
        <v>149</v>
      </c>
      <c r="F59" s="823">
        <v>108205428.53459054</v>
      </c>
      <c r="G59" s="823">
        <v>105701160.4842822</v>
      </c>
      <c r="H59" s="823">
        <v>107834361.32176957</v>
      </c>
      <c r="I59" s="823">
        <v>100869313.93779999</v>
      </c>
      <c r="J59" s="824">
        <v>99164819.432641432</v>
      </c>
      <c r="K59" s="824">
        <v>95794524.095314279</v>
      </c>
      <c r="L59" s="825">
        <v>94162068.861637592</v>
      </c>
      <c r="M59" s="824">
        <v>91960868.72126092</v>
      </c>
      <c r="N59" s="824">
        <v>87795200.929511875</v>
      </c>
      <c r="O59" s="825">
        <v>85795236.691219121</v>
      </c>
      <c r="P59" s="1484">
        <v>88120287.605551168</v>
      </c>
      <c r="Q59" s="823">
        <v>86411567.926994219</v>
      </c>
      <c r="R59" s="823">
        <v>85618335.919997185</v>
      </c>
      <c r="S59" s="1415"/>
      <c r="T59" s="1415"/>
    </row>
    <row r="60" spans="1:27">
      <c r="F60" s="823"/>
      <c r="G60" s="823"/>
      <c r="H60" s="823"/>
      <c r="I60" s="823"/>
      <c r="J60" s="824"/>
      <c r="K60" s="824"/>
      <c r="L60" s="825"/>
      <c r="M60" s="824"/>
      <c r="N60" s="824"/>
      <c r="O60" s="825"/>
      <c r="P60" s="1484"/>
      <c r="Q60" s="823"/>
      <c r="R60" s="823"/>
    </row>
    <row r="61" spans="1:27">
      <c r="C61" s="820" t="s">
        <v>152</v>
      </c>
      <c r="F61" s="823"/>
      <c r="G61" s="1416" t="e">
        <v>#REF!</v>
      </c>
      <c r="H61" s="1416">
        <v>-0.01</v>
      </c>
      <c r="I61" s="1416">
        <v>8.0000000000000002E-3</v>
      </c>
      <c r="J61" s="1417">
        <v>3.3300000000000003E-2</v>
      </c>
      <c r="K61" s="1417">
        <v>6.3E-2</v>
      </c>
      <c r="L61" s="1418" t="e">
        <v>#REF!</v>
      </c>
      <c r="M61" s="1419">
        <v>7.7200000000000005E-2</v>
      </c>
      <c r="N61" s="1419">
        <v>7.6200000000000004E-2</v>
      </c>
      <c r="O61" s="1418">
        <v>7.8899999999999998E-2</v>
      </c>
      <c r="P61" s="1495">
        <v>8.0299999999999996E-2</v>
      </c>
      <c r="Q61" s="1163">
        <v>7.8299999999999995E-2</v>
      </c>
      <c r="R61" s="1163">
        <v>7.6299999999999993E-2</v>
      </c>
    </row>
    <row r="62" spans="1:27">
      <c r="C62" s="820" t="s">
        <v>150</v>
      </c>
      <c r="F62" s="821">
        <v>91162412</v>
      </c>
      <c r="G62" s="822" t="e">
        <v>#REF!</v>
      </c>
      <c r="H62" s="823" t="e">
        <v>#REF!</v>
      </c>
      <c r="I62" s="1357" t="e">
        <v>#REF!</v>
      </c>
      <c r="J62" s="824" t="e">
        <v>#REF!</v>
      </c>
      <c r="K62" s="824" t="e">
        <v>#REF!</v>
      </c>
      <c r="L62" s="825">
        <v>106337788.54813226</v>
      </c>
      <c r="M62" s="824">
        <v>118336747.38</v>
      </c>
      <c r="N62" s="824">
        <v>126794660.36999997</v>
      </c>
      <c r="O62" s="1560">
        <v>136011995.54000002</v>
      </c>
      <c r="P62" s="1560">
        <v>146911036.75098103</v>
      </c>
      <c r="Q62" s="1801">
        <v>158414170.92858285</v>
      </c>
      <c r="R62" s="1801">
        <v>170501172.17043373</v>
      </c>
      <c r="S62" s="1415">
        <v>134212875.52999999</v>
      </c>
      <c r="T62" s="1415">
        <v>146316399.93000001</v>
      </c>
      <c r="U62" s="1415">
        <v>156607486.40098101</v>
      </c>
    </row>
    <row r="63" spans="1:27">
      <c r="C63" s="820" t="s">
        <v>184</v>
      </c>
      <c r="F63" s="821">
        <v>179392</v>
      </c>
      <c r="G63" s="822" t="e">
        <v>#REF!</v>
      </c>
      <c r="H63" s="823">
        <v>212989</v>
      </c>
      <c r="I63" s="823" t="e">
        <v>#REF!</v>
      </c>
      <c r="J63" s="824">
        <v>156016</v>
      </c>
      <c r="K63" s="824" t="e">
        <v>#REF!</v>
      </c>
      <c r="L63" s="825">
        <v>241129.33000000002</v>
      </c>
      <c r="M63" s="824">
        <v>264250.34999999998</v>
      </c>
      <c r="N63" s="824">
        <v>314894.73</v>
      </c>
      <c r="O63" s="1559">
        <v>372416.23</v>
      </c>
      <c r="P63" s="1560">
        <v>372416.23</v>
      </c>
      <c r="Q63" s="1801">
        <v>372416.23</v>
      </c>
      <c r="R63" s="1801">
        <v>372416.23</v>
      </c>
      <c r="S63" s="820">
        <v>163740350.72168094</v>
      </c>
    </row>
    <row r="64" spans="1:27">
      <c r="C64" s="820" t="s">
        <v>917</v>
      </c>
      <c r="F64" s="821"/>
      <c r="G64" s="822"/>
      <c r="H64" s="823"/>
      <c r="I64" s="823"/>
      <c r="J64" s="824" t="e">
        <v>#REF!</v>
      </c>
      <c r="K64" s="824" t="e">
        <v>#REF!</v>
      </c>
      <c r="L64" s="825">
        <v>6498274.3500000006</v>
      </c>
      <c r="M64" s="824">
        <v>7397402.700000003</v>
      </c>
      <c r="N64" s="824">
        <v>7103320.4300000006</v>
      </c>
      <c r="O64" s="1559">
        <v>9931988.1600000001</v>
      </c>
      <c r="P64" s="1560">
        <v>9324033.4199999999</v>
      </c>
      <c r="Q64" s="1802">
        <v>10054105.236786</v>
      </c>
      <c r="R64" s="1802">
        <v>10821233.466352772</v>
      </c>
      <c r="S64" s="820">
        <v>0.81966891446403134</v>
      </c>
      <c r="X64" s="1523"/>
      <c r="Y64" s="1523"/>
      <c r="Z64" s="1523"/>
      <c r="AA64" s="1523"/>
    </row>
    <row r="65" spans="3:27">
      <c r="C65" s="820" t="s">
        <v>151</v>
      </c>
      <c r="F65" s="1053">
        <v>5455713</v>
      </c>
      <c r="G65" s="1420">
        <v>6912724</v>
      </c>
      <c r="H65" s="823">
        <v>6484949</v>
      </c>
      <c r="I65" s="823">
        <v>7785970.6399999997</v>
      </c>
      <c r="J65" s="824">
        <v>9531312.4199999999</v>
      </c>
      <c r="K65" s="824" t="e">
        <v>#REF!</v>
      </c>
      <c r="L65" s="825">
        <v>8931646.5</v>
      </c>
      <c r="M65" s="824">
        <v>10006049</v>
      </c>
      <c r="N65" s="748">
        <v>10803020.25</v>
      </c>
      <c r="O65" s="1515">
        <v>10568382</v>
      </c>
      <c r="P65" s="1794">
        <v>10059554.347533016</v>
      </c>
      <c r="Q65" s="1800">
        <v>9674386.5913167987</v>
      </c>
      <c r="R65" s="1800">
        <v>9571558.3454059623</v>
      </c>
      <c r="X65" s="1523"/>
      <c r="Y65" s="1501"/>
      <c r="Z65" s="1501"/>
      <c r="AA65" s="1501"/>
    </row>
    <row r="66" spans="3:27">
      <c r="C66" s="183" t="s">
        <v>1710</v>
      </c>
      <c r="F66" s="1053"/>
      <c r="G66" s="1420"/>
      <c r="H66" s="823"/>
      <c r="I66" s="823"/>
      <c r="J66" s="824"/>
      <c r="K66" s="824"/>
      <c r="L66" s="825"/>
      <c r="M66" s="824"/>
      <c r="N66" s="748"/>
      <c r="O66" s="1515"/>
      <c r="P66" s="1794">
        <v>-460000</v>
      </c>
      <c r="Q66" s="1794">
        <v>-460000</v>
      </c>
      <c r="R66" s="1794">
        <v>-460000</v>
      </c>
      <c r="X66" s="1523"/>
      <c r="Y66" s="1501"/>
      <c r="Z66" s="1501"/>
      <c r="AA66" s="1501"/>
    </row>
    <row r="67" spans="3:27">
      <c r="C67" s="820" t="s">
        <v>524</v>
      </c>
      <c r="F67" s="821">
        <v>0</v>
      </c>
      <c r="G67" s="823">
        <v>0</v>
      </c>
      <c r="H67" s="823">
        <v>0</v>
      </c>
      <c r="I67" s="823">
        <v>0</v>
      </c>
      <c r="J67" s="824">
        <v>0</v>
      </c>
      <c r="K67" s="824">
        <v>0</v>
      </c>
      <c r="L67" s="1377">
        <v>0</v>
      </c>
      <c r="M67" s="824">
        <v>0</v>
      </c>
      <c r="N67" s="824">
        <v>0</v>
      </c>
      <c r="O67" s="1507">
        <v>0</v>
      </c>
      <c r="P67" s="1484"/>
      <c r="Q67" s="823"/>
      <c r="R67" s="823"/>
      <c r="S67" s="1415">
        <v>8214475.0999999885</v>
      </c>
      <c r="X67" s="1523"/>
      <c r="Y67" s="1502">
        <v>0.5</v>
      </c>
      <c r="Z67" s="1502">
        <v>0.5</v>
      </c>
      <c r="AA67" s="1502">
        <v>1</v>
      </c>
    </row>
    <row r="68" spans="3:27">
      <c r="C68" s="820" t="s">
        <v>154</v>
      </c>
      <c r="F68" s="819">
        <v>11407911.534590542</v>
      </c>
      <c r="G68" s="819" t="e">
        <v>#REF!</v>
      </c>
      <c r="H68" s="819" t="e">
        <v>#REF!</v>
      </c>
      <c r="I68" s="819" t="e">
        <v>#REF!</v>
      </c>
      <c r="J68" s="1004" t="e">
        <v>#REF!</v>
      </c>
      <c r="K68" s="1004" t="e">
        <v>#REF!</v>
      </c>
      <c r="L68" s="1380">
        <v>0</v>
      </c>
      <c r="M68" s="1004">
        <v>0</v>
      </c>
      <c r="N68" s="1004">
        <v>0</v>
      </c>
      <c r="O68" s="1380">
        <v>0</v>
      </c>
      <c r="P68" s="1487">
        <v>0</v>
      </c>
      <c r="Q68" s="819">
        <v>0</v>
      </c>
      <c r="R68" s="819">
        <v>0</v>
      </c>
      <c r="S68" s="1415">
        <v>12921208.201867737</v>
      </c>
      <c r="X68" s="1523"/>
      <c r="Y68" s="1503" t="e">
        <v>#REF!</v>
      </c>
      <c r="Z68" s="1504" t="e">
        <v>#REF!</v>
      </c>
      <c r="AA68" s="1505" t="e">
        <v>#REF!</v>
      </c>
    </row>
    <row r="69" spans="3:27">
      <c r="G69" s="1421" t="e">
        <v>#REF!</v>
      </c>
      <c r="H69" s="1421" t="e">
        <v>#REF!</v>
      </c>
      <c r="I69" s="1421" t="e">
        <v>#REF!</v>
      </c>
      <c r="J69" s="1422" t="e">
        <v>#REF!</v>
      </c>
      <c r="K69" s="1422" t="e">
        <v>#REF!</v>
      </c>
      <c r="L69" s="1421" t="s">
        <v>1939</v>
      </c>
      <c r="M69" s="1422" t="s">
        <v>1939</v>
      </c>
      <c r="N69" s="1422" t="s">
        <v>1939</v>
      </c>
      <c r="O69" s="1421" t="s">
        <v>1939</v>
      </c>
      <c r="P69" s="1496" t="s">
        <v>1939</v>
      </c>
      <c r="Q69" s="1421" t="s">
        <v>1939</v>
      </c>
      <c r="R69" s="1421" t="s">
        <v>1939</v>
      </c>
      <c r="X69" s="1523"/>
      <c r="Y69" s="1501"/>
      <c r="Z69" s="1501"/>
      <c r="AA69" s="1501"/>
    </row>
    <row r="70" spans="3:27">
      <c r="J70" s="1339"/>
      <c r="K70" s="1339"/>
      <c r="L70" s="183"/>
      <c r="M70" s="1339"/>
      <c r="N70" s="1339"/>
      <c r="O70" s="183"/>
      <c r="P70" s="1486"/>
      <c r="X70" s="1523"/>
      <c r="Y70" s="1523"/>
      <c r="Z70" s="1523"/>
      <c r="AA70" s="1523"/>
    </row>
    <row r="71" spans="3:27">
      <c r="C71" s="820" t="s">
        <v>153</v>
      </c>
      <c r="F71" s="823">
        <v>108205428.53459054</v>
      </c>
      <c r="G71" s="823" t="e">
        <v>#REF!</v>
      </c>
      <c r="H71" s="823" t="e">
        <v>#REF!</v>
      </c>
      <c r="I71" s="823" t="e">
        <v>#REF!</v>
      </c>
      <c r="J71" s="824" t="e">
        <v>#REF!</v>
      </c>
      <c r="K71" s="824" t="e">
        <v>#REF!</v>
      </c>
      <c r="L71" s="825">
        <v>122008838.72813225</v>
      </c>
      <c r="M71" s="824">
        <v>136004449.43000001</v>
      </c>
      <c r="N71" s="824">
        <v>145015895.77999997</v>
      </c>
      <c r="O71" s="825">
        <v>156884781.93000001</v>
      </c>
      <c r="P71" s="1484">
        <v>166207040.74851403</v>
      </c>
      <c r="Q71" s="823">
        <v>178055078.98668563</v>
      </c>
      <c r="R71" s="823">
        <v>190806380.21219245</v>
      </c>
      <c r="X71" s="1523"/>
      <c r="Y71" s="1523"/>
      <c r="Z71" s="1523"/>
      <c r="AA71" s="1523"/>
    </row>
    <row r="72" spans="3:27" ht="13.5" thickBot="1">
      <c r="J72" s="1339"/>
      <c r="K72" s="1339"/>
      <c r="L72" s="183"/>
      <c r="M72" s="1339"/>
      <c r="N72" s="1339"/>
      <c r="O72" s="183"/>
      <c r="P72" s="1486"/>
      <c r="X72" s="1523"/>
      <c r="Y72" s="1523"/>
      <c r="Z72" s="1523"/>
      <c r="AA72" s="1523"/>
    </row>
    <row r="73" spans="3:27" ht="13.5" thickBot="1">
      <c r="C73" s="1396" t="s">
        <v>117</v>
      </c>
      <c r="D73" s="1397"/>
      <c r="E73" s="1397"/>
      <c r="F73" s="1397"/>
      <c r="G73" s="1399" t="e">
        <v>#REF!</v>
      </c>
      <c r="H73" s="1399" t="e">
        <v>#REF!</v>
      </c>
      <c r="I73" s="1399" t="e">
        <v>#REF!</v>
      </c>
      <c r="J73" s="1400" t="e">
        <v>#REF!</v>
      </c>
      <c r="K73" s="1400" t="e">
        <v>#REF!</v>
      </c>
      <c r="L73" s="1399">
        <v>27846769.866494656</v>
      </c>
      <c r="M73" s="1400">
        <v>44043580.708739087</v>
      </c>
      <c r="N73" s="1400">
        <v>57220694.850488096</v>
      </c>
      <c r="O73" s="1399">
        <v>71089545.238780886</v>
      </c>
      <c r="P73" s="1492">
        <v>78086753.142962858</v>
      </c>
      <c r="Q73" s="1399">
        <v>91643511.059691414</v>
      </c>
      <c r="R73" s="1398">
        <v>105188044.29219526</v>
      </c>
      <c r="X73" s="1523"/>
      <c r="Y73" s="1523"/>
      <c r="Z73" s="1523"/>
      <c r="AA73" s="1523"/>
    </row>
    <row r="74" spans="3:27">
      <c r="C74" s="183"/>
      <c r="D74" s="1423"/>
      <c r="F74" s="1415"/>
      <c r="H74" s="1163"/>
      <c r="J74" s="1339"/>
      <c r="K74" s="1356"/>
      <c r="L74" s="183"/>
      <c r="M74" s="1339"/>
      <c r="N74" s="1339"/>
      <c r="O74" s="183"/>
      <c r="P74" s="1486"/>
      <c r="X74" s="1523"/>
      <c r="Y74" s="1523"/>
      <c r="Z74" s="1523"/>
      <c r="AA74" s="1523"/>
    </row>
    <row r="75" spans="3:27">
      <c r="C75" s="183" t="s">
        <v>133</v>
      </c>
      <c r="D75" s="1424"/>
      <c r="F75" s="1415">
        <v>54056444</v>
      </c>
      <c r="G75" s="1415" t="e">
        <v>#REF!</v>
      </c>
      <c r="H75" s="823">
        <v>58729536</v>
      </c>
      <c r="I75" s="1415" t="e">
        <v>#REF!</v>
      </c>
      <c r="J75" s="1386" t="e">
        <v>#REF!</v>
      </c>
      <c r="K75" s="1386" t="e">
        <v>#REF!</v>
      </c>
      <c r="L75" s="1380">
        <v>106337788.54813226</v>
      </c>
      <c r="M75" s="1386">
        <v>118336747.38</v>
      </c>
      <c r="N75" s="1386">
        <v>126794660.36999997</v>
      </c>
      <c r="O75" s="1518">
        <v>136011995.54000002</v>
      </c>
      <c r="P75" s="1799">
        <v>146911036.75098103</v>
      </c>
      <c r="Q75" s="1803">
        <v>158414170.92858285</v>
      </c>
      <c r="R75" s="1803">
        <v>170501172.17043373</v>
      </c>
      <c r="X75" s="1523"/>
      <c r="Y75" s="1523"/>
      <c r="Z75" s="1523"/>
      <c r="AA75" s="1523"/>
    </row>
    <row r="76" spans="3:27">
      <c r="C76" s="820" t="s">
        <v>184</v>
      </c>
      <c r="D76" s="1424"/>
      <c r="F76" s="1415">
        <v>179392</v>
      </c>
      <c r="G76" s="1415" t="e">
        <v>#REF!</v>
      </c>
      <c r="H76" s="1415">
        <v>212989</v>
      </c>
      <c r="I76" s="1415" t="e">
        <v>#REF!</v>
      </c>
      <c r="J76" s="1386">
        <v>156016</v>
      </c>
      <c r="K76" s="1386" t="e">
        <v>#REF!</v>
      </c>
      <c r="L76" s="1380">
        <v>241129.33000000002</v>
      </c>
      <c r="M76" s="1386">
        <v>264250.34999999998</v>
      </c>
      <c r="N76" s="1386">
        <v>314894.73</v>
      </c>
      <c r="O76" s="1518">
        <v>372416.23</v>
      </c>
      <c r="P76" s="1799">
        <v>372416.23</v>
      </c>
      <c r="Q76" s="1803">
        <v>372416.23</v>
      </c>
      <c r="R76" s="1803">
        <v>372416.23</v>
      </c>
      <c r="X76" s="1523"/>
      <c r="Y76" s="1523"/>
      <c r="Z76" s="1523"/>
      <c r="AA76" s="1523"/>
    </row>
    <row r="77" spans="3:27">
      <c r="C77" s="820" t="s">
        <v>917</v>
      </c>
      <c r="D77" s="1424"/>
      <c r="F77" s="1415"/>
      <c r="G77" s="1415"/>
      <c r="H77" s="1415"/>
      <c r="I77" s="1415"/>
      <c r="J77" s="1386" t="e">
        <v>#REF!</v>
      </c>
      <c r="K77" s="1386" t="e">
        <v>#REF!</v>
      </c>
      <c r="L77" s="1380">
        <v>6498274.3500000006</v>
      </c>
      <c r="M77" s="1386">
        <v>7397402.700000003</v>
      </c>
      <c r="N77" s="1386">
        <v>7103320.4300000006</v>
      </c>
      <c r="O77" s="1518">
        <v>9931988.1600000001</v>
      </c>
      <c r="P77" s="1799">
        <v>9324033.4199999999</v>
      </c>
      <c r="Q77" s="1803">
        <v>10054105.236786</v>
      </c>
      <c r="R77" s="1803">
        <v>10821233.466352772</v>
      </c>
      <c r="X77" s="1523"/>
      <c r="Y77" s="1523"/>
      <c r="Z77" s="1523"/>
      <c r="AA77" s="1523"/>
    </row>
    <row r="78" spans="3:27">
      <c r="C78" s="183" t="s">
        <v>134</v>
      </c>
      <c r="D78" s="1424"/>
      <c r="F78" s="1415">
        <v>5455713</v>
      </c>
      <c r="G78" s="1415">
        <v>6912724</v>
      </c>
      <c r="H78" s="1415">
        <v>6484949</v>
      </c>
      <c r="I78" s="823">
        <v>7785970.6399999997</v>
      </c>
      <c r="J78" s="824">
        <v>9531312.4199999999</v>
      </c>
      <c r="K78" s="824" t="e">
        <v>#REF!</v>
      </c>
      <c r="L78" s="825">
        <v>8931646.5</v>
      </c>
      <c r="M78" s="824">
        <v>10006049</v>
      </c>
      <c r="N78" s="824">
        <v>10803020.25</v>
      </c>
      <c r="O78" s="1515">
        <v>10568382</v>
      </c>
      <c r="P78" s="1484">
        <v>10059554.347533016</v>
      </c>
      <c r="Q78" s="1800">
        <v>9674386.5913167987</v>
      </c>
      <c r="R78" s="1800">
        <v>9571558.3454059623</v>
      </c>
    </row>
    <row r="79" spans="3:27">
      <c r="C79" s="183" t="s">
        <v>1710</v>
      </c>
      <c r="D79" s="1424"/>
      <c r="F79" s="1415"/>
      <c r="G79" s="1415"/>
      <c r="H79" s="1415"/>
      <c r="I79" s="823"/>
      <c r="J79" s="824"/>
      <c r="K79" s="824"/>
      <c r="L79" s="825"/>
      <c r="M79" s="824"/>
      <c r="N79" s="824"/>
      <c r="O79" s="1515"/>
      <c r="P79" s="1484">
        <v>-460000</v>
      </c>
      <c r="Q79" s="1800">
        <v>-460000</v>
      </c>
      <c r="R79" s="1800">
        <v>-460000</v>
      </c>
    </row>
    <row r="80" spans="3:27">
      <c r="C80" s="183" t="s">
        <v>135</v>
      </c>
      <c r="D80" s="1424"/>
      <c r="F80" s="1425">
        <v>48513879.534590542</v>
      </c>
      <c r="G80" s="1425" t="e">
        <v>#REF!</v>
      </c>
      <c r="H80" s="1425">
        <v>42406887.321769565</v>
      </c>
      <c r="I80" s="1425" t="e">
        <v>#REF!</v>
      </c>
      <c r="J80" s="1386" t="e">
        <v>#REF!</v>
      </c>
      <c r="K80" s="1426" t="e">
        <v>#REF!</v>
      </c>
      <c r="L80" s="1380">
        <v>0</v>
      </c>
      <c r="M80" s="1426">
        <v>0</v>
      </c>
      <c r="N80" s="1426">
        <v>0</v>
      </c>
      <c r="O80" s="1506">
        <v>0</v>
      </c>
      <c r="P80" s="1497">
        <v>0</v>
      </c>
      <c r="Q80" s="1425">
        <v>0</v>
      </c>
      <c r="R80" s="1425">
        <v>0</v>
      </c>
    </row>
    <row r="81" spans="2:27" ht="13.5" thickBot="1">
      <c r="C81" s="183"/>
      <c r="D81" s="1424"/>
      <c r="F81" s="1415">
        <v>108205428.53459054</v>
      </c>
      <c r="G81" s="1415" t="e">
        <v>#REF!</v>
      </c>
      <c r="H81" s="1415">
        <v>107834361.32176957</v>
      </c>
      <c r="I81" s="1415" t="e">
        <v>#REF!</v>
      </c>
      <c r="J81" s="1427" t="e">
        <v>#REF!</v>
      </c>
      <c r="K81" s="1426" t="e">
        <v>#REF!</v>
      </c>
      <c r="L81" s="1401">
        <v>122008838.72813225</v>
      </c>
      <c r="M81" s="1426">
        <v>136004449.43000001</v>
      </c>
      <c r="N81" s="1426">
        <v>145015895.77999997</v>
      </c>
      <c r="O81" s="1517">
        <v>156884781.93000001</v>
      </c>
      <c r="P81" s="1498">
        <v>166207040.74851403</v>
      </c>
      <c r="Q81" s="1511">
        <v>178055078.98668563</v>
      </c>
      <c r="R81" s="1401">
        <v>190806380.21219245</v>
      </c>
      <c r="S81" s="1415">
        <v>146316399.93000001</v>
      </c>
      <c r="T81" s="1428">
        <v>134212875.52999997</v>
      </c>
      <c r="U81" s="1428">
        <v>12103524.400000036</v>
      </c>
    </row>
    <row r="82" spans="2:27">
      <c r="B82" s="1797" t="s">
        <v>1759</v>
      </c>
      <c r="C82" s="1412" t="s">
        <v>151</v>
      </c>
      <c r="O82" s="1415"/>
      <c r="Y82" s="1500"/>
      <c r="AA82" s="1431"/>
    </row>
    <row r="83" spans="2:27">
      <c r="B83" s="1795">
        <v>8874</v>
      </c>
      <c r="C83" s="820" t="s">
        <v>1567</v>
      </c>
      <c r="I83" s="820">
        <v>1713025</v>
      </c>
      <c r="J83" s="1415">
        <v>2080964</v>
      </c>
      <c r="K83" s="1357">
        <v>1970790.1172543277</v>
      </c>
      <c r="O83" s="1512">
        <v>7564404</v>
      </c>
      <c r="P83" s="1512">
        <v>7195774.7999999998</v>
      </c>
      <c r="Y83" s="1500"/>
      <c r="AA83" s="1431"/>
    </row>
    <row r="84" spans="2:27">
      <c r="B84" s="1796" t="s">
        <v>1758</v>
      </c>
      <c r="C84" s="820" t="s">
        <v>1568</v>
      </c>
      <c r="J84" s="1415"/>
      <c r="O84" s="1512">
        <v>-3675630</v>
      </c>
      <c r="P84" s="1512">
        <v>-3491848.5</v>
      </c>
      <c r="Y84" s="1500"/>
      <c r="AA84" s="1431"/>
    </row>
    <row r="85" spans="2:27">
      <c r="B85" s="1795">
        <v>8874</v>
      </c>
      <c r="C85" s="820" t="s">
        <v>829</v>
      </c>
      <c r="I85" s="820">
        <v>3134656</v>
      </c>
      <c r="J85" s="1415">
        <v>3840810</v>
      </c>
      <c r="K85" s="1357">
        <v>3637463.4016982485</v>
      </c>
      <c r="O85" s="1512">
        <v>4212026</v>
      </c>
      <c r="P85" s="1512">
        <v>4001424.6999999997</v>
      </c>
      <c r="Y85" s="1500"/>
      <c r="AA85" s="1431"/>
    </row>
    <row r="86" spans="2:27">
      <c r="B86" s="1796" t="s">
        <v>1758</v>
      </c>
      <c r="C86" s="820" t="s">
        <v>1568</v>
      </c>
      <c r="J86" s="1415"/>
      <c r="O86" s="1512">
        <v>-2159125</v>
      </c>
      <c r="P86" s="1512">
        <v>-2051168.75</v>
      </c>
      <c r="Y86" s="1500"/>
      <c r="AA86" s="1431"/>
    </row>
    <row r="87" spans="2:27">
      <c r="B87" s="1795">
        <v>8874</v>
      </c>
      <c r="C87" s="820" t="s">
        <v>621</v>
      </c>
      <c r="I87" s="1430">
        <v>3097187</v>
      </c>
      <c r="J87" s="1425">
        <v>3804055</v>
      </c>
      <c r="K87" s="1429">
        <v>3602654.3464912949</v>
      </c>
      <c r="O87" s="1512">
        <v>7264657</v>
      </c>
      <c r="P87" s="1512">
        <v>6911424.1500000004</v>
      </c>
      <c r="Y87" s="1500"/>
      <c r="AA87" s="1431"/>
    </row>
    <row r="88" spans="2:27">
      <c r="B88" s="1796" t="s">
        <v>1758</v>
      </c>
      <c r="C88" s="820" t="s">
        <v>1568</v>
      </c>
      <c r="I88" s="183"/>
      <c r="J88" s="1380"/>
      <c r="K88" s="1355"/>
      <c r="O88" s="1798">
        <v>-2696750</v>
      </c>
      <c r="P88" s="1798">
        <v>-2561912.5</v>
      </c>
      <c r="Y88" s="1500"/>
      <c r="AA88" s="1431"/>
    </row>
    <row r="89" spans="2:27">
      <c r="B89">
        <v>8886</v>
      </c>
      <c r="C89" t="s">
        <v>1760</v>
      </c>
      <c r="I89" s="183"/>
      <c r="J89" s="1380"/>
      <c r="K89" s="1355"/>
      <c r="O89" s="1513">
        <v>58800</v>
      </c>
      <c r="P89" s="1513">
        <v>55860</v>
      </c>
      <c r="Y89" s="1500"/>
      <c r="AA89" s="1431"/>
    </row>
    <row r="90" spans="2:27">
      <c r="I90" s="183"/>
      <c r="J90" s="1380"/>
      <c r="K90" s="1355"/>
      <c r="O90" s="1514">
        <v>10568382</v>
      </c>
      <c r="P90" s="1514">
        <v>10059553.9</v>
      </c>
      <c r="Q90" s="1415"/>
      <c r="Y90" s="1500"/>
      <c r="AA90" s="1431"/>
    </row>
    <row r="91" spans="2:27">
      <c r="B91" s="1823" t="s">
        <v>1766</v>
      </c>
      <c r="C91" s="820" t="s">
        <v>1765</v>
      </c>
      <c r="M91" s="1821" t="s">
        <v>1767</v>
      </c>
      <c r="N91" s="1821"/>
      <c r="O91" s="1822"/>
      <c r="P91" s="1822">
        <v>-460000</v>
      </c>
    </row>
    <row r="92" spans="2:27">
      <c r="O92" s="1410"/>
    </row>
    <row r="93" spans="2:27">
      <c r="O93" s="1410"/>
    </row>
  </sheetData>
  <phoneticPr fontId="25" type="noConversion"/>
  <pageMargins left="0.5" right="0.5" top="1" bottom="1" header="0.5" footer="0.5"/>
  <pageSetup scale="85" orientation="portrait" r:id="rId1"/>
  <headerFooter alignWithMargins="0">
    <oddHeader xml:space="preserve">&amp;C&amp;"Arial,Bold"&amp;14SB361 Revenues
Prelim </oddHead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C130"/>
  <sheetViews>
    <sheetView topLeftCell="A99" workbookViewId="0">
      <selection activeCell="O149" sqref="O149"/>
    </sheetView>
  </sheetViews>
  <sheetFormatPr defaultColWidth="10.85546875" defaultRowHeight="15.75"/>
  <cols>
    <col min="1" max="1" width="10.85546875" style="1616"/>
    <col min="2" max="2" width="21.28515625" style="1616" bestFit="1" customWidth="1"/>
    <col min="3" max="3" width="15" style="1616" bestFit="1" customWidth="1"/>
    <col min="4" max="5" width="15" style="1616" customWidth="1"/>
    <col min="6" max="7" width="15" style="1616" bestFit="1" customWidth="1"/>
    <col min="8" max="8" width="15" style="1616" customWidth="1"/>
    <col min="9" max="9" width="13" style="1616" bestFit="1" customWidth="1"/>
    <col min="10" max="10" width="15" style="1616" bestFit="1" customWidth="1"/>
    <col min="11" max="11" width="12.42578125" style="1616" bestFit="1" customWidth="1"/>
    <col min="12" max="12" width="13.42578125" style="1616" bestFit="1" customWidth="1"/>
    <col min="13" max="13" width="12.42578125" style="1616" bestFit="1" customWidth="1"/>
    <col min="14" max="14" width="10.85546875" style="1616"/>
    <col min="15" max="15" width="12.42578125" style="1616" bestFit="1" customWidth="1"/>
    <col min="16" max="16" width="13" style="1616" bestFit="1" customWidth="1"/>
    <col min="17" max="17" width="13.42578125" style="1616" customWidth="1"/>
    <col min="18" max="18" width="11.28515625" style="1616" bestFit="1" customWidth="1"/>
    <col min="19" max="19" width="13" style="1616" bestFit="1" customWidth="1"/>
    <col min="20" max="20" width="16.28515625" style="1616" customWidth="1"/>
    <col min="21" max="21" width="14" style="1616" bestFit="1" customWidth="1"/>
    <col min="22" max="16384" width="10.85546875" style="1616"/>
  </cols>
  <sheetData>
    <row r="1" spans="1:17" ht="16.5" hidden="1" thickBot="1">
      <c r="C1" s="1617" t="s">
        <v>1306</v>
      </c>
      <c r="D1" s="1617"/>
      <c r="E1" s="1618"/>
      <c r="F1" s="1617" t="s">
        <v>1668</v>
      </c>
      <c r="G1" s="1617" t="s">
        <v>1668</v>
      </c>
      <c r="H1" s="1617"/>
      <c r="K1" s="1616" t="s">
        <v>1669</v>
      </c>
    </row>
    <row r="2" spans="1:17" ht="48" hidden="1" thickBot="1">
      <c r="C2" s="1619" t="s">
        <v>520</v>
      </c>
      <c r="D2" s="1620"/>
      <c r="E2" s="1621" t="s">
        <v>1670</v>
      </c>
      <c r="F2" s="1622" t="s">
        <v>1671</v>
      </c>
      <c r="G2" s="1622" t="s">
        <v>1672</v>
      </c>
      <c r="H2" s="1623"/>
      <c r="I2" s="1624" t="s">
        <v>1673</v>
      </c>
      <c r="J2" s="1622" t="s">
        <v>1674</v>
      </c>
      <c r="K2" s="1625" t="s">
        <v>1675</v>
      </c>
      <c r="L2" s="1625" t="s">
        <v>1676</v>
      </c>
      <c r="M2" s="1622" t="s">
        <v>1677</v>
      </c>
      <c r="N2" s="1626" t="s">
        <v>1678</v>
      </c>
      <c r="O2" s="1627" t="s">
        <v>1679</v>
      </c>
      <c r="P2" s="1627" t="s">
        <v>1673</v>
      </c>
      <c r="Q2" s="1628" t="s">
        <v>1680</v>
      </c>
    </row>
    <row r="3" spans="1:17" hidden="1">
      <c r="A3" s="1629">
        <v>8672</v>
      </c>
      <c r="B3" s="1681" t="s">
        <v>1681</v>
      </c>
      <c r="C3" s="1630">
        <v>600689</v>
      </c>
      <c r="D3" s="1631"/>
      <c r="E3" s="1632">
        <v>600689</v>
      </c>
      <c r="F3" s="1633">
        <v>648083</v>
      </c>
      <c r="G3" s="1634">
        <v>587967</v>
      </c>
      <c r="H3" s="1635"/>
      <c r="I3" s="1636">
        <v>0</v>
      </c>
      <c r="J3" s="1637">
        <v>587967</v>
      </c>
      <c r="K3" s="1638">
        <v>88805</v>
      </c>
      <c r="L3" s="1639">
        <v>499162</v>
      </c>
      <c r="M3" s="1685">
        <v>587967</v>
      </c>
      <c r="N3" s="1648">
        <v>1.0803</v>
      </c>
      <c r="O3" s="1682">
        <v>635180.75010000006</v>
      </c>
      <c r="P3" s="1637">
        <v>0</v>
      </c>
      <c r="Q3" s="1640">
        <v>635180.75010000006</v>
      </c>
    </row>
    <row r="4" spans="1:17" hidden="1">
      <c r="A4" s="1629">
        <v>8679</v>
      </c>
      <c r="B4" s="1616" t="s">
        <v>1682</v>
      </c>
      <c r="C4" s="1635">
        <v>3393</v>
      </c>
      <c r="D4" s="1641"/>
      <c r="E4" s="1642">
        <v>3393</v>
      </c>
      <c r="F4" s="1633">
        <v>3661</v>
      </c>
      <c r="G4" s="1637"/>
      <c r="H4" s="1643"/>
      <c r="I4" s="1636"/>
      <c r="J4" s="1637">
        <v>0</v>
      </c>
      <c r="K4" s="1644"/>
      <c r="L4" s="1645">
        <v>3661</v>
      </c>
      <c r="M4" s="1686">
        <v>3661</v>
      </c>
      <c r="O4" s="1640">
        <v>3661</v>
      </c>
      <c r="P4" s="1637"/>
      <c r="Q4" s="1646">
        <v>3661</v>
      </c>
    </row>
    <row r="5" spans="1:17" hidden="1">
      <c r="A5" s="1629">
        <v>8684</v>
      </c>
      <c r="B5" s="1616" t="s">
        <v>1683</v>
      </c>
      <c r="C5" s="1635">
        <v>813.91</v>
      </c>
      <c r="D5" s="1641"/>
      <c r="E5" s="1642">
        <v>813.91</v>
      </c>
      <c r="F5" s="1633">
        <v>878</v>
      </c>
      <c r="G5" s="1637"/>
      <c r="H5" s="1643"/>
      <c r="I5" s="1636"/>
      <c r="J5" s="1637">
        <v>0</v>
      </c>
      <c r="K5" s="1644"/>
      <c r="L5" s="1645">
        <v>878</v>
      </c>
      <c r="M5" s="1686">
        <v>878</v>
      </c>
      <c r="O5" s="1640">
        <v>878</v>
      </c>
      <c r="P5" s="1637"/>
      <c r="Q5" s="1646">
        <v>878</v>
      </c>
    </row>
    <row r="6" spans="1:17" hidden="1">
      <c r="A6" s="1629">
        <v>8698</v>
      </c>
      <c r="B6" s="1616" t="s">
        <v>916</v>
      </c>
      <c r="C6" s="1635">
        <v>9118</v>
      </c>
      <c r="D6" s="1641"/>
      <c r="E6" s="1642">
        <v>9118</v>
      </c>
      <c r="F6" s="1633">
        <v>9837</v>
      </c>
      <c r="G6" s="1637"/>
      <c r="H6" s="1643"/>
      <c r="I6" s="1636"/>
      <c r="J6" s="1637">
        <v>0</v>
      </c>
      <c r="K6" s="1644">
        <v>8059</v>
      </c>
      <c r="L6" s="1645">
        <v>1778</v>
      </c>
      <c r="M6" s="1686">
        <v>9837</v>
      </c>
      <c r="O6" s="1640">
        <v>9837</v>
      </c>
      <c r="P6" s="1637"/>
      <c r="Q6" s="1646">
        <v>9837</v>
      </c>
    </row>
    <row r="7" spans="1:17" hidden="1">
      <c r="A7" s="1629">
        <v>8810</v>
      </c>
      <c r="B7" s="1616" t="s">
        <v>314</v>
      </c>
      <c r="C7" s="1635">
        <v>0</v>
      </c>
      <c r="D7" s="1641"/>
      <c r="E7" s="1642">
        <v>0</v>
      </c>
      <c r="F7" s="1633"/>
      <c r="G7" s="1637"/>
      <c r="H7" s="1643"/>
      <c r="I7" s="1636"/>
      <c r="J7" s="1637">
        <v>0</v>
      </c>
      <c r="K7" s="1644"/>
      <c r="L7" s="1645">
        <v>0</v>
      </c>
      <c r="M7" s="1686">
        <v>0</v>
      </c>
      <c r="O7" s="1640">
        <v>0</v>
      </c>
      <c r="P7" s="1637"/>
      <c r="Q7" s="1646">
        <v>0</v>
      </c>
    </row>
    <row r="8" spans="1:17" hidden="1">
      <c r="A8" s="1629">
        <v>8811</v>
      </c>
      <c r="B8" s="1681" t="s">
        <v>1684</v>
      </c>
      <c r="C8" s="1635">
        <v>116309934</v>
      </c>
      <c r="D8" s="1641"/>
      <c r="E8" s="1642">
        <v>116309934</v>
      </c>
      <c r="F8" s="1633">
        <v>124486788</v>
      </c>
      <c r="G8" s="1634">
        <v>124531234</v>
      </c>
      <c r="H8" s="1635"/>
      <c r="I8" s="1636"/>
      <c r="J8" s="1637">
        <v>124531234</v>
      </c>
      <c r="K8" s="1644" t="e">
        <v>#REF!</v>
      </c>
      <c r="L8" s="1647" t="e">
        <v>#REF!</v>
      </c>
      <c r="M8" s="1686" t="e">
        <v>#REF!</v>
      </c>
      <c r="N8" s="1648">
        <v>1.0803</v>
      </c>
      <c r="O8" s="1682" t="e">
        <v>#REF!</v>
      </c>
      <c r="P8" s="1637">
        <v>-1000000</v>
      </c>
      <c r="Q8" s="1646" t="e">
        <v>#REF!</v>
      </c>
    </row>
    <row r="9" spans="1:17" hidden="1">
      <c r="A9" s="1629">
        <v>8812</v>
      </c>
      <c r="B9" s="1681" t="s">
        <v>1685</v>
      </c>
      <c r="C9" s="1635">
        <v>4477424</v>
      </c>
      <c r="D9" s="1641"/>
      <c r="E9" s="1642">
        <v>4477424</v>
      </c>
      <c r="F9" s="1633">
        <v>4830693</v>
      </c>
      <c r="G9" s="1634">
        <v>4472357</v>
      </c>
      <c r="H9" s="1635"/>
      <c r="I9" s="1636"/>
      <c r="J9" s="1637">
        <v>4472357</v>
      </c>
      <c r="K9" s="1649" t="e">
        <v>#REF!</v>
      </c>
      <c r="L9" s="1645" t="e">
        <v>#REF!</v>
      </c>
      <c r="M9" s="1686" t="e">
        <v>#REF!</v>
      </c>
      <c r="N9" s="1648">
        <v>1.0803</v>
      </c>
      <c r="O9" s="1682" t="e">
        <v>#REF!</v>
      </c>
      <c r="P9" s="1637"/>
      <c r="Q9" s="1646" t="e">
        <v>#REF!</v>
      </c>
    </row>
    <row r="10" spans="1:17" hidden="1">
      <c r="A10" s="1629" t="s">
        <v>1686</v>
      </c>
      <c r="B10" s="1616" t="s">
        <v>1687</v>
      </c>
      <c r="C10" s="1635">
        <v>50171</v>
      </c>
      <c r="D10" s="1641"/>
      <c r="E10" s="1642">
        <v>50171</v>
      </c>
      <c r="F10" s="1633">
        <v>54129</v>
      </c>
      <c r="G10" s="1637"/>
      <c r="H10" s="1643"/>
      <c r="I10" s="1636"/>
      <c r="J10" s="1637">
        <v>0</v>
      </c>
      <c r="K10" s="1644" t="e">
        <v>#REF!</v>
      </c>
      <c r="L10" s="1650">
        <v>0</v>
      </c>
      <c r="M10" s="1686" t="e">
        <v>#REF!</v>
      </c>
      <c r="O10" s="1640" t="e">
        <v>#REF!</v>
      </c>
      <c r="P10" s="1637"/>
      <c r="Q10" s="1646" t="e">
        <v>#REF!</v>
      </c>
    </row>
    <row r="11" spans="1:17" hidden="1">
      <c r="A11" s="1629">
        <v>8813</v>
      </c>
      <c r="B11" s="1681" t="s">
        <v>915</v>
      </c>
      <c r="C11" s="1635">
        <v>5317118</v>
      </c>
      <c r="D11" s="1641"/>
      <c r="E11" s="1642">
        <v>5317118</v>
      </c>
      <c r="F11" s="1633">
        <v>5736638</v>
      </c>
      <c r="G11" s="1634">
        <v>5887508</v>
      </c>
      <c r="H11" s="1635"/>
      <c r="I11" s="1636"/>
      <c r="J11" s="1637">
        <v>5887508</v>
      </c>
      <c r="K11" s="1644" t="e">
        <v>#REF!</v>
      </c>
      <c r="L11" s="1645" t="e">
        <v>#REF!</v>
      </c>
      <c r="M11" s="1686" t="e">
        <v>#REF!</v>
      </c>
      <c r="N11" s="1648">
        <v>1.0803</v>
      </c>
      <c r="O11" s="1682" t="e">
        <v>#REF!</v>
      </c>
      <c r="P11" s="1637"/>
      <c r="Q11" s="1646" t="e">
        <v>#REF!</v>
      </c>
    </row>
    <row r="12" spans="1:17" hidden="1">
      <c r="A12" s="1629" t="s">
        <v>1558</v>
      </c>
      <c r="B12" s="1651" t="s">
        <v>1688</v>
      </c>
      <c r="C12" s="1635">
        <v>154770</v>
      </c>
      <c r="D12" s="1641"/>
      <c r="E12" s="1642">
        <v>154770</v>
      </c>
      <c r="F12" s="1633">
        <v>166982</v>
      </c>
      <c r="G12" s="1637"/>
      <c r="H12" s="1643"/>
      <c r="I12" s="1636"/>
      <c r="J12" s="1637">
        <v>0</v>
      </c>
      <c r="K12" s="1649" t="e">
        <v>#REF!</v>
      </c>
      <c r="L12" s="1650">
        <v>0</v>
      </c>
      <c r="M12" s="1686" t="e">
        <v>#REF!</v>
      </c>
      <c r="O12" s="1640" t="e">
        <v>#REF!</v>
      </c>
      <c r="P12" s="1637"/>
      <c r="Q12" s="1646" t="e">
        <v>#REF!</v>
      </c>
    </row>
    <row r="13" spans="1:17" hidden="1">
      <c r="A13" s="1629" t="s">
        <v>1559</v>
      </c>
      <c r="B13" s="1616" t="s">
        <v>1689</v>
      </c>
      <c r="C13" s="1635">
        <v>-128770</v>
      </c>
      <c r="D13" s="1641"/>
      <c r="E13" s="1642">
        <v>-128770</v>
      </c>
      <c r="F13" s="1633">
        <v>-138930</v>
      </c>
      <c r="G13" s="1634">
        <v>38364</v>
      </c>
      <c r="H13" s="1635"/>
      <c r="I13" s="1636"/>
      <c r="J13" s="1637">
        <v>38364</v>
      </c>
      <c r="K13" s="1644" t="e">
        <v>#REF!</v>
      </c>
      <c r="L13" s="1645" t="e">
        <v>#REF!</v>
      </c>
      <c r="M13" s="1686" t="e">
        <v>#REF!</v>
      </c>
      <c r="O13" s="1640" t="e">
        <v>#REF!</v>
      </c>
      <c r="P13" s="1637"/>
      <c r="Q13" s="1646" t="e">
        <v>#REF!</v>
      </c>
    </row>
    <row r="14" spans="1:17" hidden="1">
      <c r="A14" s="1629">
        <v>8818</v>
      </c>
      <c r="B14" s="1681" t="s">
        <v>1690</v>
      </c>
      <c r="C14" s="1635">
        <v>314895</v>
      </c>
      <c r="D14" s="1641"/>
      <c r="E14" s="1642">
        <v>314895</v>
      </c>
      <c r="F14" s="1633">
        <v>339740</v>
      </c>
      <c r="G14" s="1634">
        <v>342019</v>
      </c>
      <c r="H14" s="1635"/>
      <c r="I14" s="1636"/>
      <c r="J14" s="1637">
        <v>342019</v>
      </c>
      <c r="K14" s="1644" t="e">
        <v>#REF!</v>
      </c>
      <c r="L14" s="1645" t="e">
        <v>#REF!</v>
      </c>
      <c r="M14" s="1686" t="e">
        <v>#REF!</v>
      </c>
      <c r="N14" s="1648">
        <v>1.0803</v>
      </c>
      <c r="O14" s="1682" t="e">
        <v>#REF!</v>
      </c>
      <c r="P14" s="1637"/>
      <c r="Q14" s="1646" t="e">
        <v>#REF!</v>
      </c>
    </row>
    <row r="15" spans="1:17" hidden="1">
      <c r="A15" s="1629" t="s">
        <v>1560</v>
      </c>
      <c r="B15" s="1681" t="s">
        <v>1691</v>
      </c>
      <c r="C15" s="1635">
        <v>179789.61</v>
      </c>
      <c r="D15" s="1641"/>
      <c r="E15" s="1642">
        <v>179789.61</v>
      </c>
      <c r="F15" s="1633">
        <v>193975</v>
      </c>
      <c r="G15" s="1642">
        <v>0</v>
      </c>
      <c r="H15" s="1635"/>
      <c r="I15" s="1636"/>
      <c r="J15" s="1637">
        <v>0</v>
      </c>
      <c r="K15" s="1644" t="e">
        <v>#REF!</v>
      </c>
      <c r="L15" s="1652" t="e">
        <v>#REF!</v>
      </c>
      <c r="M15" s="1686" t="e">
        <v>#REF!</v>
      </c>
      <c r="N15" s="1648">
        <v>1.0803</v>
      </c>
      <c r="O15" s="1682" t="e">
        <v>#REF!</v>
      </c>
      <c r="P15" s="1637"/>
      <c r="Q15" s="1646" t="e">
        <v>#REF!</v>
      </c>
    </row>
    <row r="16" spans="1:17" s="1661" customFormat="1" hidden="1">
      <c r="A16" s="1653" t="s">
        <v>1565</v>
      </c>
      <c r="B16" s="1683" t="s">
        <v>1692</v>
      </c>
      <c r="C16" s="1654"/>
      <c r="D16" s="1655">
        <v>1923794</v>
      </c>
      <c r="E16" s="1642">
        <v>1923794</v>
      </c>
      <c r="F16" s="1656"/>
      <c r="G16" s="1656"/>
      <c r="H16" s="1657">
        <v>1985618</v>
      </c>
      <c r="I16" s="1658"/>
      <c r="J16" s="1637">
        <v>1985618</v>
      </c>
      <c r="K16" s="1649" t="e">
        <v>#REF!</v>
      </c>
      <c r="L16" s="1659" t="e">
        <v>#REF!</v>
      </c>
      <c r="M16" s="1686" t="e">
        <v>#REF!</v>
      </c>
      <c r="N16" s="1660">
        <v>1.0803</v>
      </c>
      <c r="O16" s="1682" t="e">
        <v>#REF!</v>
      </c>
      <c r="P16" s="1656"/>
      <c r="Q16" s="1646" t="e">
        <v>#REF!</v>
      </c>
    </row>
    <row r="17" spans="1:19" hidden="1">
      <c r="A17" s="1629" t="s">
        <v>1693</v>
      </c>
      <c r="B17" s="1616" t="s">
        <v>1694</v>
      </c>
      <c r="C17" s="1635">
        <v>0</v>
      </c>
      <c r="D17" s="1641"/>
      <c r="E17" s="1642">
        <v>0</v>
      </c>
      <c r="F17" s="1633"/>
      <c r="G17" s="1637"/>
      <c r="H17" s="1643"/>
      <c r="I17" s="1636"/>
      <c r="J17" s="1637">
        <v>0</v>
      </c>
      <c r="K17" s="1644"/>
      <c r="L17" s="1650">
        <v>0</v>
      </c>
      <c r="M17" s="1640">
        <v>0</v>
      </c>
      <c r="O17" s="1640">
        <v>0</v>
      </c>
      <c r="P17" s="1637"/>
      <c r="Q17" s="1646">
        <v>0</v>
      </c>
    </row>
    <row r="18" spans="1:19" hidden="1">
      <c r="A18" s="1629" t="s">
        <v>1561</v>
      </c>
      <c r="B18" s="1681" t="s">
        <v>1695</v>
      </c>
      <c r="C18" s="1635">
        <v>2045</v>
      </c>
      <c r="D18" s="1641"/>
      <c r="E18" s="1642">
        <v>2045</v>
      </c>
      <c r="F18" s="1633">
        <v>2206</v>
      </c>
      <c r="G18" s="1642">
        <v>0</v>
      </c>
      <c r="H18" s="1635"/>
      <c r="I18" s="1636"/>
      <c r="J18" s="1637">
        <v>0</v>
      </c>
      <c r="K18" s="1644" t="e">
        <v>#REF!</v>
      </c>
      <c r="L18" s="1652" t="e">
        <v>#REF!</v>
      </c>
      <c r="M18" s="1686" t="e">
        <v>#REF!</v>
      </c>
      <c r="N18" s="1648">
        <v>1.0803</v>
      </c>
      <c r="O18" s="1682" t="e">
        <v>#REF!</v>
      </c>
      <c r="P18" s="1637"/>
      <c r="Q18" s="1646" t="e">
        <v>#REF!</v>
      </c>
    </row>
    <row r="19" spans="1:19" hidden="1">
      <c r="A19" s="1629" t="s">
        <v>1562</v>
      </c>
      <c r="B19" s="1616" t="s">
        <v>1696</v>
      </c>
      <c r="C19" s="1635">
        <v>294816</v>
      </c>
      <c r="D19" s="1641"/>
      <c r="E19" s="1642">
        <v>294816</v>
      </c>
      <c r="F19" s="1633">
        <v>318078</v>
      </c>
      <c r="G19" s="1634">
        <v>80000</v>
      </c>
      <c r="H19" s="1635"/>
      <c r="I19" s="1636"/>
      <c r="J19" s="1637">
        <v>80000</v>
      </c>
      <c r="K19" s="1649" t="e">
        <v>#REF!</v>
      </c>
      <c r="L19" s="1650">
        <v>0</v>
      </c>
      <c r="M19" s="1686" t="e">
        <v>#REF!</v>
      </c>
      <c r="O19" s="1640" t="e">
        <v>#REF!</v>
      </c>
      <c r="P19" s="1637"/>
      <c r="Q19" s="1646" t="e">
        <v>#REF!</v>
      </c>
    </row>
    <row r="20" spans="1:19" hidden="1">
      <c r="A20" s="1629" t="s">
        <v>1563</v>
      </c>
      <c r="B20" s="1616" t="s">
        <v>1557</v>
      </c>
      <c r="C20" s="1635">
        <v>17303</v>
      </c>
      <c r="D20" s="1641"/>
      <c r="E20" s="1642">
        <v>17303</v>
      </c>
      <c r="F20" s="1633">
        <v>18668</v>
      </c>
      <c r="G20" s="1637"/>
      <c r="H20" s="1643"/>
      <c r="I20" s="1636"/>
      <c r="J20" s="1637">
        <v>0</v>
      </c>
      <c r="K20" s="1644"/>
      <c r="L20" s="1650">
        <v>0</v>
      </c>
      <c r="M20" s="1640">
        <v>0</v>
      </c>
      <c r="O20" s="1640">
        <v>0</v>
      </c>
      <c r="P20" s="1637"/>
      <c r="Q20" s="1646">
        <v>0</v>
      </c>
    </row>
    <row r="21" spans="1:19" ht="16.5" hidden="1" thickBot="1">
      <c r="A21" s="1629" t="s">
        <v>1564</v>
      </c>
      <c r="B21" s="1681" t="s">
        <v>1697</v>
      </c>
      <c r="C21" s="1662">
        <v>6609366</v>
      </c>
      <c r="D21" s="1663"/>
      <c r="E21" s="1664">
        <v>6609366</v>
      </c>
      <c r="F21" s="1665">
        <v>7130845</v>
      </c>
      <c r="G21" s="1664">
        <v>7279859</v>
      </c>
      <c r="H21" s="1662"/>
      <c r="I21" s="1666"/>
      <c r="J21" s="1637">
        <v>7279859</v>
      </c>
      <c r="K21" s="1644" t="e">
        <v>#REF!</v>
      </c>
      <c r="L21" s="1645" t="e">
        <v>#REF!</v>
      </c>
      <c r="M21" s="1686" t="e">
        <v>#REF!</v>
      </c>
      <c r="N21" s="1648">
        <v>1.0803</v>
      </c>
      <c r="O21" s="1682" t="e">
        <v>#REF!</v>
      </c>
      <c r="P21" s="1667"/>
      <c r="Q21" s="1646" t="e">
        <v>#REF!</v>
      </c>
      <c r="R21" s="1680" t="e">
        <v>#REF!</v>
      </c>
      <c r="S21" s="1680"/>
    </row>
    <row r="22" spans="1:19" ht="16.5" hidden="1" thickBot="1">
      <c r="C22" s="1668">
        <v>134212875.52</v>
      </c>
      <c r="D22" s="1669">
        <v>1923794</v>
      </c>
      <c r="E22" s="1670">
        <v>136136669.51999998</v>
      </c>
      <c r="F22" s="1668">
        <v>143802271</v>
      </c>
      <c r="G22" s="1669">
        <v>143219308</v>
      </c>
      <c r="H22" s="1669"/>
      <c r="I22" s="1669">
        <v>0</v>
      </c>
      <c r="J22" s="1671">
        <v>145204926</v>
      </c>
      <c r="K22" s="1672" t="e">
        <v>#REF!</v>
      </c>
      <c r="L22" s="1672" t="e">
        <v>#REF!</v>
      </c>
      <c r="M22" s="1672" t="e">
        <v>#REF!</v>
      </c>
      <c r="N22" s="1622"/>
      <c r="O22" s="1673" t="e">
        <v>#REF!</v>
      </c>
      <c r="P22" s="1674">
        <v>-1000000</v>
      </c>
      <c r="Q22" s="1675" t="e">
        <v>#REF!</v>
      </c>
    </row>
    <row r="23" spans="1:19" hidden="1">
      <c r="C23" s="1676"/>
      <c r="D23" s="1676"/>
      <c r="E23" s="1676"/>
      <c r="F23" s="1676"/>
      <c r="G23" s="1676"/>
      <c r="H23" s="1676"/>
      <c r="I23" s="1676"/>
      <c r="L23" s="1677"/>
      <c r="P23" s="1676"/>
    </row>
    <row r="24" spans="1:19" hidden="1">
      <c r="B24" s="1681" t="s">
        <v>1698</v>
      </c>
      <c r="C24" s="1684"/>
      <c r="D24" s="1676"/>
      <c r="E24" s="1676"/>
      <c r="F24" s="1678" t="s">
        <v>1699</v>
      </c>
      <c r="G24" s="1679">
        <v>5.2025942054939822E-2</v>
      </c>
      <c r="H24" s="1676"/>
      <c r="I24" s="1676"/>
      <c r="K24" s="1616" t="e">
        <v>#REF!</v>
      </c>
      <c r="P24" s="1676"/>
    </row>
    <row r="25" spans="1:19" hidden="1">
      <c r="H25" s="1680">
        <v>145787889</v>
      </c>
      <c r="M25" s="1681" t="s">
        <v>1700</v>
      </c>
      <c r="N25" s="1681"/>
      <c r="O25" s="1681"/>
      <c r="P25" s="1681"/>
      <c r="Q25" s="1681"/>
      <c r="R25" s="1616" t="e">
        <v>#REF!</v>
      </c>
    </row>
    <row r="26" spans="1:19" hidden="1">
      <c r="F26" s="1679">
        <v>7.1449147057213835E-2</v>
      </c>
      <c r="J26" s="1679">
        <v>6.6611417129370798E-2</v>
      </c>
    </row>
    <row r="27" spans="1:19" hidden="1">
      <c r="G27" s="1616" t="s">
        <v>1701</v>
      </c>
    </row>
    <row r="28" spans="1:19" hidden="1">
      <c r="Q28" s="1680" t="e">
        <v>#REF!</v>
      </c>
    </row>
    <row r="29" spans="1:19" hidden="1"/>
    <row r="30" spans="1:19" hidden="1"/>
    <row r="31" spans="1:19" hidden="1">
      <c r="G31" s="1680">
        <v>7279859</v>
      </c>
      <c r="Q31" s="1680"/>
    </row>
    <row r="32" spans="1:19" hidden="1">
      <c r="B32" s="1757" t="s">
        <v>1704</v>
      </c>
      <c r="C32" s="1648">
        <v>8.2600000000000007E-2</v>
      </c>
    </row>
    <row r="33" spans="1:17" hidden="1"/>
    <row r="34" spans="1:17" ht="16.5" hidden="1" thickBot="1">
      <c r="C34" s="1617" t="s">
        <v>1306</v>
      </c>
      <c r="D34" s="1617"/>
      <c r="E34" s="1618"/>
      <c r="F34" s="1617" t="s">
        <v>1668</v>
      </c>
      <c r="G34" s="1617" t="s">
        <v>1668</v>
      </c>
      <c r="H34" s="1617"/>
      <c r="K34" s="1616" t="s">
        <v>1669</v>
      </c>
    </row>
    <row r="35" spans="1:17" ht="48" hidden="1" thickBot="1">
      <c r="C35" s="1619" t="s">
        <v>520</v>
      </c>
      <c r="D35" s="1620"/>
      <c r="E35" s="1621" t="s">
        <v>1670</v>
      </c>
      <c r="F35" s="1622" t="s">
        <v>1671</v>
      </c>
      <c r="G35" s="1690" t="s">
        <v>1705</v>
      </c>
      <c r="H35" s="1691"/>
      <c r="I35" s="1624" t="s">
        <v>1673</v>
      </c>
      <c r="J35" s="1622" t="s">
        <v>1674</v>
      </c>
      <c r="K35" s="1692" t="s">
        <v>1706</v>
      </c>
      <c r="L35" s="1692" t="s">
        <v>1676</v>
      </c>
      <c r="M35" s="1622" t="s">
        <v>1677</v>
      </c>
      <c r="N35" s="1626" t="s">
        <v>1678</v>
      </c>
      <c r="O35" s="1627" t="s">
        <v>1679</v>
      </c>
      <c r="P35" s="1627" t="s">
        <v>1673</v>
      </c>
      <c r="Q35" s="1628" t="s">
        <v>1680</v>
      </c>
    </row>
    <row r="36" spans="1:17" hidden="1">
      <c r="A36" s="1629">
        <v>8672</v>
      </c>
      <c r="B36" s="1681" t="s">
        <v>1681</v>
      </c>
      <c r="C36" s="1630">
        <v>600689</v>
      </c>
      <c r="D36" s="1631"/>
      <c r="E36" s="1632">
        <v>600689</v>
      </c>
      <c r="F36" s="1633">
        <v>648083</v>
      </c>
      <c r="G36" s="1634">
        <v>592032.24</v>
      </c>
      <c r="H36" s="1635"/>
      <c r="I36" s="1636">
        <v>0</v>
      </c>
      <c r="J36" s="1637">
        <v>592032.24</v>
      </c>
      <c r="K36" s="1694">
        <v>592032.24</v>
      </c>
      <c r="L36" s="1639">
        <v>0</v>
      </c>
      <c r="M36" s="1685">
        <v>592032.24</v>
      </c>
      <c r="N36" s="1648">
        <v>1.0826</v>
      </c>
      <c r="O36" s="1682">
        <v>640934.10302399995</v>
      </c>
      <c r="P36" s="1637">
        <v>0</v>
      </c>
      <c r="Q36" s="1640">
        <v>640934.10302399995</v>
      </c>
    </row>
    <row r="37" spans="1:17" hidden="1">
      <c r="A37" s="1629">
        <v>8679</v>
      </c>
      <c r="B37" s="1616" t="s">
        <v>1682</v>
      </c>
      <c r="C37" s="1635">
        <v>3393</v>
      </c>
      <c r="D37" s="1641"/>
      <c r="E37" s="1642">
        <v>3393</v>
      </c>
      <c r="F37" s="1633">
        <v>3661</v>
      </c>
      <c r="G37" s="1637"/>
      <c r="H37" s="1643"/>
      <c r="I37" s="1636"/>
      <c r="J37" s="1637">
        <v>0</v>
      </c>
      <c r="K37" s="1644"/>
      <c r="L37" s="1699">
        <v>3661</v>
      </c>
      <c r="M37" s="1697">
        <v>3661</v>
      </c>
      <c r="O37" s="1640">
        <v>3661</v>
      </c>
      <c r="P37" s="1637"/>
      <c r="Q37" s="1646">
        <v>3661</v>
      </c>
    </row>
    <row r="38" spans="1:17" hidden="1">
      <c r="A38" s="1629">
        <v>8684</v>
      </c>
      <c r="B38" s="1616" t="s">
        <v>1683</v>
      </c>
      <c r="C38" s="1635">
        <v>813.91</v>
      </c>
      <c r="D38" s="1641"/>
      <c r="E38" s="1642">
        <v>813.91</v>
      </c>
      <c r="F38" s="1633">
        <v>878</v>
      </c>
      <c r="G38" s="1637"/>
      <c r="H38" s="1643"/>
      <c r="I38" s="1636"/>
      <c r="J38" s="1637">
        <v>0</v>
      </c>
      <c r="K38" s="1644"/>
      <c r="L38" s="1699">
        <v>878</v>
      </c>
      <c r="M38" s="1697">
        <v>878</v>
      </c>
      <c r="O38" s="1640">
        <v>878</v>
      </c>
      <c r="P38" s="1637"/>
      <c r="Q38" s="1646">
        <v>878</v>
      </c>
    </row>
    <row r="39" spans="1:17" hidden="1">
      <c r="A39" s="1629">
        <v>8698</v>
      </c>
      <c r="B39" s="1616" t="s">
        <v>916</v>
      </c>
      <c r="C39" s="1635">
        <v>9118</v>
      </c>
      <c r="D39" s="1641"/>
      <c r="E39" s="1642">
        <v>9118</v>
      </c>
      <c r="F39" s="1633">
        <v>9837</v>
      </c>
      <c r="G39" s="1696">
        <v>8059.56</v>
      </c>
      <c r="H39" s="1635"/>
      <c r="I39" s="1636"/>
      <c r="J39" s="1637">
        <v>8059.56</v>
      </c>
      <c r="K39" s="1649">
        <v>8059.56</v>
      </c>
      <c r="L39" s="1699">
        <v>0</v>
      </c>
      <c r="M39" s="1686">
        <v>8059.56</v>
      </c>
      <c r="O39" s="1640">
        <v>8059.56</v>
      </c>
      <c r="P39" s="1637"/>
      <c r="Q39" s="1646">
        <v>8059.56</v>
      </c>
    </row>
    <row r="40" spans="1:17" hidden="1">
      <c r="A40" s="1629">
        <v>8810</v>
      </c>
      <c r="B40" s="1616" t="s">
        <v>314</v>
      </c>
      <c r="C40" s="1635">
        <v>0</v>
      </c>
      <c r="D40" s="1641"/>
      <c r="E40" s="1642">
        <v>0</v>
      </c>
      <c r="F40" s="1633"/>
      <c r="G40" s="1637"/>
      <c r="H40" s="1643"/>
      <c r="I40" s="1636"/>
      <c r="J40" s="1637">
        <v>0</v>
      </c>
      <c r="K40" s="1644"/>
      <c r="L40" s="1699">
        <v>0</v>
      </c>
      <c r="M40" s="1686">
        <v>0</v>
      </c>
      <c r="O40" s="1640">
        <v>0</v>
      </c>
      <c r="P40" s="1637"/>
      <c r="Q40" s="1646">
        <v>0</v>
      </c>
    </row>
    <row r="41" spans="1:17" hidden="1">
      <c r="A41" s="1629">
        <v>8811</v>
      </c>
      <c r="B41" s="1681" t="s">
        <v>1684</v>
      </c>
      <c r="C41" s="1635">
        <v>116309934</v>
      </c>
      <c r="D41" s="1641"/>
      <c r="E41" s="1642">
        <v>116309934</v>
      </c>
      <c r="F41" s="1633">
        <v>124486788</v>
      </c>
      <c r="G41" s="1634">
        <v>124721201.45999999</v>
      </c>
      <c r="H41" s="1635"/>
      <c r="I41" s="1636"/>
      <c r="J41" s="1637">
        <v>124721201.45999999</v>
      </c>
      <c r="K41" s="1649">
        <v>124721201.45999999</v>
      </c>
      <c r="L41" s="1700">
        <v>0</v>
      </c>
      <c r="M41" s="1686">
        <v>124721201.45999999</v>
      </c>
      <c r="N41" s="1648">
        <v>1.0826</v>
      </c>
      <c r="O41" s="1682">
        <v>135023172.700596</v>
      </c>
      <c r="P41" s="1637">
        <v>-1000000</v>
      </c>
      <c r="Q41" s="1646">
        <v>134023172.700596</v>
      </c>
    </row>
    <row r="42" spans="1:17" hidden="1">
      <c r="A42" s="1629">
        <v>8812</v>
      </c>
      <c r="B42" s="1681" t="s">
        <v>1685</v>
      </c>
      <c r="C42" s="1635">
        <v>4477424</v>
      </c>
      <c r="D42" s="1641"/>
      <c r="E42" s="1642">
        <v>4477424</v>
      </c>
      <c r="F42" s="1633">
        <v>4830693</v>
      </c>
      <c r="G42" s="1634">
        <v>4472357</v>
      </c>
      <c r="H42" s="1635"/>
      <c r="I42" s="1636"/>
      <c r="J42" s="1637">
        <v>4472357</v>
      </c>
      <c r="K42" s="1649">
        <v>4472357</v>
      </c>
      <c r="L42" s="1699">
        <v>0</v>
      </c>
      <c r="M42" s="1686">
        <v>4472357</v>
      </c>
      <c r="N42" s="1648">
        <v>1.0826</v>
      </c>
      <c r="O42" s="1682">
        <v>4841773.6881999997</v>
      </c>
      <c r="P42" s="1637"/>
      <c r="Q42" s="1646">
        <v>4841773.6881999997</v>
      </c>
    </row>
    <row r="43" spans="1:17" hidden="1">
      <c r="A43" s="1629" t="s">
        <v>1686</v>
      </c>
      <c r="B43" s="1616" t="s">
        <v>1687</v>
      </c>
      <c r="C43" s="1635">
        <v>50171</v>
      </c>
      <c r="D43" s="1641"/>
      <c r="E43" s="1642">
        <v>50171</v>
      </c>
      <c r="F43" s="1633">
        <v>54129</v>
      </c>
      <c r="G43" s="1637"/>
      <c r="H43" s="1643"/>
      <c r="I43" s="1636"/>
      <c r="J43" s="1637">
        <v>0</v>
      </c>
      <c r="K43" s="1644" t="e">
        <v>#REF!</v>
      </c>
      <c r="L43" s="1699">
        <v>0</v>
      </c>
      <c r="M43" s="1686" t="e">
        <v>#REF!</v>
      </c>
      <c r="O43" s="1640" t="e">
        <v>#REF!</v>
      </c>
      <c r="P43" s="1637"/>
      <c r="Q43" s="1646" t="e">
        <v>#REF!</v>
      </c>
    </row>
    <row r="44" spans="1:17" hidden="1">
      <c r="A44" s="1629">
        <v>8813</v>
      </c>
      <c r="B44" s="1681" t="s">
        <v>915</v>
      </c>
      <c r="C44" s="1635">
        <v>5317118</v>
      </c>
      <c r="D44" s="1641"/>
      <c r="E44" s="1642">
        <v>5317118</v>
      </c>
      <c r="F44" s="1633">
        <v>5736638</v>
      </c>
      <c r="G44" s="1634">
        <v>5884839.2000000002</v>
      </c>
      <c r="H44" s="1635"/>
      <c r="I44" s="1636"/>
      <c r="J44" s="1637">
        <v>5884839.2000000002</v>
      </c>
      <c r="K44" s="1649">
        <v>5884839.2000000002</v>
      </c>
      <c r="L44" s="1699">
        <v>0</v>
      </c>
      <c r="M44" s="1686">
        <v>5884839.2000000002</v>
      </c>
      <c r="N44" s="1648">
        <v>1.0826</v>
      </c>
      <c r="O44" s="1682">
        <v>6370926.9179199999</v>
      </c>
      <c r="P44" s="1637"/>
      <c r="Q44" s="1646">
        <v>6370926.9179199999</v>
      </c>
    </row>
    <row r="45" spans="1:17" hidden="1">
      <c r="A45" s="1629" t="s">
        <v>1558</v>
      </c>
      <c r="B45" s="1651" t="s">
        <v>1688</v>
      </c>
      <c r="C45" s="1635">
        <v>154770</v>
      </c>
      <c r="D45" s="1641"/>
      <c r="E45" s="1642">
        <v>154770</v>
      </c>
      <c r="F45" s="1633">
        <v>166982</v>
      </c>
      <c r="G45" s="1637"/>
      <c r="H45" s="1643"/>
      <c r="I45" s="1636"/>
      <c r="J45" s="1637">
        <v>0</v>
      </c>
      <c r="K45" s="1695" t="e">
        <v>#REF!</v>
      </c>
      <c r="L45" s="1699">
        <v>0</v>
      </c>
      <c r="M45" s="1697" t="e">
        <v>#REF!</v>
      </c>
      <c r="O45" s="1640" t="e">
        <v>#REF!</v>
      </c>
      <c r="P45" s="1637"/>
      <c r="Q45" s="1646" t="e">
        <v>#REF!</v>
      </c>
    </row>
    <row r="46" spans="1:17" hidden="1">
      <c r="A46" s="1629" t="s">
        <v>1559</v>
      </c>
      <c r="B46" s="1616" t="s">
        <v>1689</v>
      </c>
      <c r="C46" s="1635">
        <v>-128770</v>
      </c>
      <c r="D46" s="1641"/>
      <c r="E46" s="1642">
        <v>-128770</v>
      </c>
      <c r="F46" s="1633">
        <v>-138930</v>
      </c>
      <c r="G46" s="1634">
        <v>186732.4</v>
      </c>
      <c r="H46" s="1635"/>
      <c r="I46" s="1636"/>
      <c r="J46" s="1637">
        <v>186732.4</v>
      </c>
      <c r="K46" s="1649">
        <v>186732.4</v>
      </c>
      <c r="L46" s="1699">
        <v>0</v>
      </c>
      <c r="M46" s="1686">
        <v>186732.4</v>
      </c>
      <c r="N46" s="1648">
        <v>1.0826</v>
      </c>
      <c r="O46" s="1682">
        <v>202156.49624000001</v>
      </c>
      <c r="P46" s="1637"/>
      <c r="Q46" s="1646">
        <v>202156.49624000001</v>
      </c>
    </row>
    <row r="47" spans="1:17" hidden="1">
      <c r="A47" s="1629">
        <v>8818</v>
      </c>
      <c r="B47" s="1681" t="s">
        <v>1690</v>
      </c>
      <c r="C47" s="1635">
        <v>314895</v>
      </c>
      <c r="D47" s="1641"/>
      <c r="E47" s="1642">
        <v>314895</v>
      </c>
      <c r="F47" s="1633">
        <v>339740</v>
      </c>
      <c r="G47" s="1634">
        <v>364748.18</v>
      </c>
      <c r="H47" s="1635"/>
      <c r="I47" s="1636"/>
      <c r="J47" s="1637">
        <v>364748.18</v>
      </c>
      <c r="K47" s="1649">
        <v>364748.18</v>
      </c>
      <c r="L47" s="1699">
        <v>0</v>
      </c>
      <c r="M47" s="1686">
        <v>364748.18</v>
      </c>
      <c r="N47" s="1648">
        <v>1.0826</v>
      </c>
      <c r="O47" s="1682">
        <v>394876.37966799998</v>
      </c>
      <c r="P47" s="1637"/>
      <c r="Q47" s="1646">
        <v>394876.37966799998</v>
      </c>
    </row>
    <row r="48" spans="1:17" hidden="1">
      <c r="A48" s="1629" t="s">
        <v>1560</v>
      </c>
      <c r="B48" s="1681" t="s">
        <v>1691</v>
      </c>
      <c r="C48" s="1635">
        <v>179789.61</v>
      </c>
      <c r="D48" s="1641"/>
      <c r="E48" s="1642">
        <v>179789.61</v>
      </c>
      <c r="F48" s="1633">
        <v>193975</v>
      </c>
      <c r="G48" s="1642">
        <v>0</v>
      </c>
      <c r="H48" s="1635"/>
      <c r="I48" s="1636"/>
      <c r="J48" s="1637">
        <v>0</v>
      </c>
      <c r="K48" s="1695" t="e">
        <v>#REF!</v>
      </c>
      <c r="L48" s="1701" t="e">
        <v>#REF!</v>
      </c>
      <c r="M48" s="1697" t="e">
        <v>#REF!</v>
      </c>
      <c r="N48" s="1648">
        <v>1.0826</v>
      </c>
      <c r="O48" s="1682" t="e">
        <v>#REF!</v>
      </c>
      <c r="P48" s="1637"/>
      <c r="Q48" s="1646" t="e">
        <v>#REF!</v>
      </c>
    </row>
    <row r="49" spans="1:20" hidden="1">
      <c r="A49" s="1653" t="s">
        <v>1565</v>
      </c>
      <c r="B49" s="1683" t="s">
        <v>1692</v>
      </c>
      <c r="C49" s="1654"/>
      <c r="D49" s="1655">
        <v>1923794</v>
      </c>
      <c r="E49" s="1642">
        <v>1923794</v>
      </c>
      <c r="F49" s="1656"/>
      <c r="G49" s="1656"/>
      <c r="H49" s="1657">
        <v>1985618</v>
      </c>
      <c r="I49" s="1658"/>
      <c r="J49" s="1637">
        <v>1985618</v>
      </c>
      <c r="K49" s="1695" t="e">
        <v>#REF!</v>
      </c>
      <c r="L49" s="1701" t="e">
        <v>#REF!</v>
      </c>
      <c r="M49" s="1697" t="e">
        <v>#REF!</v>
      </c>
      <c r="N49" s="1698">
        <v>1.03</v>
      </c>
      <c r="O49" s="1682" t="e">
        <v>#REF!</v>
      </c>
      <c r="P49" s="1656"/>
      <c r="Q49" s="1646" t="e">
        <v>#REF!</v>
      </c>
      <c r="R49" s="1661" t="s">
        <v>1707</v>
      </c>
    </row>
    <row r="50" spans="1:20" hidden="1">
      <c r="A50" s="1629" t="s">
        <v>1693</v>
      </c>
      <c r="B50" s="1616" t="s">
        <v>1694</v>
      </c>
      <c r="C50" s="1635">
        <v>0</v>
      </c>
      <c r="D50" s="1641"/>
      <c r="E50" s="1642">
        <v>0</v>
      </c>
      <c r="F50" s="1633"/>
      <c r="G50" s="1637"/>
      <c r="H50" s="1643"/>
      <c r="I50" s="1636"/>
      <c r="J50" s="1637">
        <v>0</v>
      </c>
      <c r="K50" s="1644"/>
      <c r="L50" s="1699">
        <v>0</v>
      </c>
      <c r="M50" s="1640">
        <v>0</v>
      </c>
      <c r="O50" s="1640">
        <v>0</v>
      </c>
      <c r="P50" s="1637"/>
      <c r="Q50" s="1646">
        <v>0</v>
      </c>
    </row>
    <row r="51" spans="1:20" hidden="1">
      <c r="A51" s="1629" t="s">
        <v>1561</v>
      </c>
      <c r="B51" s="1681" t="s">
        <v>1695</v>
      </c>
      <c r="C51" s="1635">
        <v>2045</v>
      </c>
      <c r="D51" s="1641"/>
      <c r="E51" s="1642">
        <v>2045</v>
      </c>
      <c r="F51" s="1633">
        <v>2206</v>
      </c>
      <c r="G51" s="1642">
        <v>0</v>
      </c>
      <c r="H51" s="1635"/>
      <c r="I51" s="1636"/>
      <c r="J51" s="1637">
        <v>0</v>
      </c>
      <c r="K51" s="1644" t="e">
        <v>#REF!</v>
      </c>
      <c r="L51" s="1699" t="e">
        <v>#REF!</v>
      </c>
      <c r="M51" s="1697" t="e">
        <v>#REF!</v>
      </c>
      <c r="N51" s="1648">
        <v>1.0826</v>
      </c>
      <c r="O51" s="1682" t="e">
        <v>#REF!</v>
      </c>
      <c r="P51" s="1637"/>
      <c r="Q51" s="1646" t="e">
        <v>#REF!</v>
      </c>
    </row>
    <row r="52" spans="1:20" hidden="1">
      <c r="A52" s="1629" t="s">
        <v>1562</v>
      </c>
      <c r="B52" s="1616" t="s">
        <v>1696</v>
      </c>
      <c r="C52" s="1635">
        <v>294816</v>
      </c>
      <c r="D52" s="1641"/>
      <c r="E52" s="1642">
        <v>294816</v>
      </c>
      <c r="F52" s="1633">
        <v>318078</v>
      </c>
      <c r="G52" s="1634">
        <v>79999.75</v>
      </c>
      <c r="H52" s="1635"/>
      <c r="I52" s="1636"/>
      <c r="J52" s="1637">
        <v>79999.75</v>
      </c>
      <c r="K52" s="1649" t="e">
        <v>#REF!</v>
      </c>
      <c r="L52" s="1699">
        <v>0</v>
      </c>
      <c r="M52" s="1686" t="e">
        <v>#REF!</v>
      </c>
      <c r="O52" s="1640">
        <v>0</v>
      </c>
      <c r="P52" s="1637"/>
      <c r="Q52" s="1646">
        <v>0</v>
      </c>
    </row>
    <row r="53" spans="1:20" hidden="1">
      <c r="A53" s="1629" t="s">
        <v>1563</v>
      </c>
      <c r="B53" s="1616" t="s">
        <v>1557</v>
      </c>
      <c r="C53" s="1635">
        <v>17303</v>
      </c>
      <c r="D53" s="1641"/>
      <c r="E53" s="1642">
        <v>17303</v>
      </c>
      <c r="F53" s="1633">
        <v>18668</v>
      </c>
      <c r="G53" s="1637"/>
      <c r="H53" s="1643"/>
      <c r="I53" s="1636"/>
      <c r="J53" s="1637">
        <v>0</v>
      </c>
      <c r="K53" s="1644"/>
      <c r="L53" s="1699">
        <v>0</v>
      </c>
      <c r="M53" s="1640">
        <v>0</v>
      </c>
      <c r="O53" s="1640">
        <v>0</v>
      </c>
      <c r="P53" s="1637"/>
      <c r="Q53" s="1646">
        <v>0</v>
      </c>
    </row>
    <row r="54" spans="1:20" ht="16.5" hidden="1" thickBot="1">
      <c r="A54" s="1629" t="s">
        <v>1564</v>
      </c>
      <c r="B54" s="1681" t="s">
        <v>1697</v>
      </c>
      <c r="C54" s="1662">
        <v>6609366</v>
      </c>
      <c r="D54" s="1663"/>
      <c r="E54" s="1664">
        <v>6609366</v>
      </c>
      <c r="F54" s="1665">
        <v>7130845</v>
      </c>
      <c r="G54" s="1693">
        <v>7516606.8099999996</v>
      </c>
      <c r="H54" s="1662"/>
      <c r="I54" s="1666"/>
      <c r="J54" s="1637">
        <v>7516606.8099999996</v>
      </c>
      <c r="K54" s="1649">
        <v>7516606.8099999996</v>
      </c>
      <c r="L54" s="1700">
        <v>0</v>
      </c>
      <c r="M54" s="1686">
        <v>7516606.8099999996</v>
      </c>
      <c r="N54" s="1648">
        <v>1.0826</v>
      </c>
      <c r="O54" s="1682">
        <v>8137478.5325059993</v>
      </c>
      <c r="P54" s="1667"/>
      <c r="Q54" s="1646">
        <v>8137478.5325059993</v>
      </c>
      <c r="R54" s="1680" t="e">
        <v>#REF!</v>
      </c>
    </row>
    <row r="55" spans="1:20" ht="16.5" hidden="1" thickBot="1">
      <c r="C55" s="1668">
        <v>134212875.52</v>
      </c>
      <c r="D55" s="1669">
        <v>1923794</v>
      </c>
      <c r="E55" s="1670">
        <v>136136669.51999998</v>
      </c>
      <c r="F55" s="1668">
        <v>143802271</v>
      </c>
      <c r="G55" s="1669">
        <v>143826576.59999999</v>
      </c>
      <c r="H55" s="1669">
        <v>1985618</v>
      </c>
      <c r="I55" s="1669">
        <v>0</v>
      </c>
      <c r="J55" s="1671">
        <v>145812194.59999999</v>
      </c>
      <c r="K55" s="1672" t="e">
        <v>#REF!</v>
      </c>
      <c r="L55" s="1672" t="e">
        <v>#REF!</v>
      </c>
      <c r="M55" s="1672" t="e">
        <v>#REF!</v>
      </c>
      <c r="N55" s="1622"/>
      <c r="O55" s="1673" t="e">
        <v>#REF!</v>
      </c>
      <c r="P55" s="1674">
        <v>-1000000</v>
      </c>
      <c r="Q55" s="1675" t="e">
        <v>#REF!</v>
      </c>
      <c r="T55" s="1680" t="e">
        <v>#REF!</v>
      </c>
    </row>
    <row r="56" spans="1:20" hidden="1">
      <c r="C56" s="1676"/>
      <c r="D56" s="1676"/>
      <c r="E56" s="1676"/>
      <c r="F56" s="1676"/>
      <c r="G56" s="1676"/>
      <c r="H56" s="1676">
        <v>145812194.59999999</v>
      </c>
      <c r="I56" s="1676"/>
      <c r="L56" s="1677"/>
      <c r="P56" s="1676"/>
    </row>
    <row r="57" spans="1:20" hidden="1">
      <c r="B57" s="1681" t="s">
        <v>1698</v>
      </c>
      <c r="C57" s="1684"/>
      <c r="D57" s="1676"/>
      <c r="E57" s="1676"/>
      <c r="F57" s="1678" t="s">
        <v>1699</v>
      </c>
      <c r="G57" s="1679">
        <v>5.6486669661551359E-2</v>
      </c>
      <c r="H57" s="1676"/>
      <c r="I57" s="1676"/>
      <c r="P57" s="1676"/>
      <c r="R57" s="1727" t="e">
        <v>#REF!</v>
      </c>
    </row>
    <row r="58" spans="1:20" hidden="1">
      <c r="M58" s="1681" t="s">
        <v>1700</v>
      </c>
      <c r="N58" s="1681"/>
      <c r="O58" s="1681"/>
      <c r="P58" s="1681"/>
      <c r="Q58" s="1681"/>
    </row>
    <row r="59" spans="1:20" hidden="1">
      <c r="F59" s="1679">
        <v>7.1449147057213835E-2</v>
      </c>
      <c r="J59" s="1679">
        <v>7.1072144735982112E-2</v>
      </c>
    </row>
    <row r="60" spans="1:20" hidden="1">
      <c r="G60" s="1616" t="s">
        <v>1701</v>
      </c>
    </row>
    <row r="61" spans="1:20" hidden="1">
      <c r="Q61" s="1680" t="e">
        <v>#REF!</v>
      </c>
    </row>
    <row r="62" spans="1:20" hidden="1"/>
    <row r="63" spans="1:20" hidden="1">
      <c r="Q63" s="1726" t="s">
        <v>1726</v>
      </c>
    </row>
    <row r="64" spans="1:20" hidden="1">
      <c r="G64" s="1680">
        <v>7516606.8099999996</v>
      </c>
      <c r="Q64" s="1680"/>
    </row>
    <row r="65" spans="1:20" hidden="1">
      <c r="A65" s="1745"/>
      <c r="B65" s="1745"/>
      <c r="C65" s="1745"/>
      <c r="D65" s="1745"/>
      <c r="E65" s="1745"/>
      <c r="F65" s="1745"/>
      <c r="G65" s="1745"/>
      <c r="H65" s="1745"/>
      <c r="I65" s="1745"/>
      <c r="J65" s="1745"/>
      <c r="K65" s="1745"/>
      <c r="L65" s="1745"/>
      <c r="M65" s="1745"/>
      <c r="N65" s="1745"/>
      <c r="O65" s="1745"/>
      <c r="P65" s="1745"/>
      <c r="Q65" s="1745"/>
    </row>
    <row r="66" spans="1:20" hidden="1"/>
    <row r="67" spans="1:20" hidden="1">
      <c r="B67" s="1757" t="s">
        <v>1740</v>
      </c>
      <c r="C67" s="1744" t="s">
        <v>1738</v>
      </c>
      <c r="E67" s="1648">
        <v>8.2600000000000007E-2</v>
      </c>
    </row>
    <row r="68" spans="1:20" hidden="1"/>
    <row r="69" spans="1:20" ht="16.5" hidden="1" thickBot="1">
      <c r="C69" s="1617" t="s">
        <v>1306</v>
      </c>
      <c r="D69" s="1617"/>
      <c r="E69" s="1618"/>
      <c r="F69" s="1617" t="s">
        <v>1668</v>
      </c>
      <c r="G69" s="1617" t="s">
        <v>1668</v>
      </c>
      <c r="H69" s="1617"/>
      <c r="K69" s="1616" t="s">
        <v>1669</v>
      </c>
    </row>
    <row r="70" spans="1:20" ht="48" hidden="1" thickBot="1">
      <c r="C70" s="1619" t="s">
        <v>520</v>
      </c>
      <c r="D70" s="1620"/>
      <c r="E70" s="1621" t="s">
        <v>1670</v>
      </c>
      <c r="F70" s="1622" t="s">
        <v>1671</v>
      </c>
      <c r="G70" s="1690" t="s">
        <v>1705</v>
      </c>
      <c r="H70" s="1691"/>
      <c r="I70" s="1624" t="s">
        <v>1673</v>
      </c>
      <c r="J70" s="1622" t="s">
        <v>1674</v>
      </c>
      <c r="K70" s="1692" t="s">
        <v>1706</v>
      </c>
      <c r="L70" s="1692" t="s">
        <v>1676</v>
      </c>
      <c r="M70" s="1622" t="s">
        <v>1677</v>
      </c>
      <c r="N70" s="1626" t="s">
        <v>1678</v>
      </c>
      <c r="O70" s="1627" t="s">
        <v>1679</v>
      </c>
      <c r="P70" s="1627" t="s">
        <v>1673</v>
      </c>
      <c r="Q70" s="1628" t="s">
        <v>1680</v>
      </c>
    </row>
    <row r="71" spans="1:20" hidden="1">
      <c r="A71" s="1629">
        <v>8672</v>
      </c>
      <c r="B71" s="1681" t="s">
        <v>1681</v>
      </c>
      <c r="C71" s="1630">
        <v>600689</v>
      </c>
      <c r="D71" s="1631"/>
      <c r="E71" s="1632">
        <v>600689</v>
      </c>
      <c r="F71" s="1633">
        <v>648083</v>
      </c>
      <c r="G71" s="1634">
        <v>592032.24</v>
      </c>
      <c r="H71" s="1635"/>
      <c r="I71" s="1636">
        <v>0</v>
      </c>
      <c r="J71" s="1637">
        <v>592032.24</v>
      </c>
      <c r="K71" s="1694">
        <v>592032.24</v>
      </c>
      <c r="L71" s="1639">
        <v>0</v>
      </c>
      <c r="M71" s="1685">
        <v>592032.24</v>
      </c>
      <c r="N71" s="1648">
        <v>1.0826</v>
      </c>
      <c r="O71" s="1682">
        <v>640934.10302399995</v>
      </c>
      <c r="P71" s="1637">
        <v>0</v>
      </c>
      <c r="Q71" s="1640">
        <v>640934.10302399995</v>
      </c>
      <c r="S71" s="1773">
        <v>592032.24</v>
      </c>
      <c r="T71" s="1680">
        <v>0</v>
      </c>
    </row>
    <row r="72" spans="1:20" hidden="1">
      <c r="A72" s="1629">
        <v>8679</v>
      </c>
      <c r="B72" s="1616" t="s">
        <v>1682</v>
      </c>
      <c r="C72" s="1635">
        <v>3393</v>
      </c>
      <c r="D72" s="1641"/>
      <c r="E72" s="1642">
        <v>3393</v>
      </c>
      <c r="F72" s="1633">
        <v>3661</v>
      </c>
      <c r="G72" s="1637"/>
      <c r="H72" s="1643"/>
      <c r="I72" s="1636"/>
      <c r="J72" s="1637">
        <v>0</v>
      </c>
      <c r="K72" s="1644"/>
      <c r="L72" s="1699">
        <v>3661</v>
      </c>
      <c r="M72" s="1697">
        <v>3661</v>
      </c>
      <c r="O72" s="1640">
        <v>3661</v>
      </c>
      <c r="P72" s="1637"/>
      <c r="Q72" s="1646">
        <v>3661</v>
      </c>
      <c r="S72" s="1774">
        <v>2152.66</v>
      </c>
      <c r="T72" s="1680">
        <v>1508.3400000000001</v>
      </c>
    </row>
    <row r="73" spans="1:20" hidden="1">
      <c r="A73" s="1629">
        <v>8684</v>
      </c>
      <c r="B73" s="1616" t="s">
        <v>1683</v>
      </c>
      <c r="C73" s="1635">
        <v>813.91</v>
      </c>
      <c r="D73" s="1641"/>
      <c r="E73" s="1642">
        <v>813.91</v>
      </c>
      <c r="F73" s="1633">
        <v>878</v>
      </c>
      <c r="G73" s="1637"/>
      <c r="H73" s="1643"/>
      <c r="I73" s="1636"/>
      <c r="J73" s="1637">
        <v>0</v>
      </c>
      <c r="K73" s="1644"/>
      <c r="L73" s="1699">
        <v>878</v>
      </c>
      <c r="M73" s="1697">
        <v>878</v>
      </c>
      <c r="O73" s="1640">
        <v>878</v>
      </c>
      <c r="P73" s="1637"/>
      <c r="Q73" s="1646">
        <v>878</v>
      </c>
      <c r="S73" s="1774">
        <v>839.04</v>
      </c>
      <c r="T73" s="1680">
        <v>38.960000000000036</v>
      </c>
    </row>
    <row r="74" spans="1:20" hidden="1">
      <c r="A74" s="1629">
        <v>8698</v>
      </c>
      <c r="B74" s="1616" t="s">
        <v>916</v>
      </c>
      <c r="C74" s="1635">
        <v>9118</v>
      </c>
      <c r="D74" s="1641"/>
      <c r="E74" s="1642">
        <v>9118</v>
      </c>
      <c r="F74" s="1633">
        <v>9837</v>
      </c>
      <c r="G74" s="1696">
        <v>8059.56</v>
      </c>
      <c r="H74" s="1635"/>
      <c r="I74" s="1636"/>
      <c r="J74" s="1637">
        <v>8059.56</v>
      </c>
      <c r="K74" s="1649">
        <v>8059.56</v>
      </c>
      <c r="L74" s="1699">
        <v>0</v>
      </c>
      <c r="M74" s="1686">
        <v>8059.56</v>
      </c>
      <c r="O74" s="1640">
        <v>8059.56</v>
      </c>
      <c r="P74" s="1637"/>
      <c r="Q74" s="1646">
        <v>8059.56</v>
      </c>
      <c r="S74" s="1772">
        <v>8345.59</v>
      </c>
      <c r="T74" s="1680">
        <v>-286.02999999999975</v>
      </c>
    </row>
    <row r="75" spans="1:20" hidden="1">
      <c r="A75" s="1629">
        <v>8810</v>
      </c>
      <c r="B75" s="1616" t="s">
        <v>314</v>
      </c>
      <c r="C75" s="1635">
        <v>0</v>
      </c>
      <c r="D75" s="1641"/>
      <c r="E75" s="1642">
        <v>0</v>
      </c>
      <c r="F75" s="1633"/>
      <c r="G75" s="1637"/>
      <c r="H75" s="1643"/>
      <c r="I75" s="1636"/>
      <c r="J75" s="1637">
        <v>0</v>
      </c>
      <c r="K75" s="1644"/>
      <c r="L75" s="1699">
        <v>0</v>
      </c>
      <c r="M75" s="1686">
        <v>0</v>
      </c>
      <c r="O75" s="1640">
        <v>0</v>
      </c>
      <c r="P75" s="1637"/>
      <c r="Q75" s="1646">
        <v>0</v>
      </c>
      <c r="S75" s="1686">
        <v>0</v>
      </c>
      <c r="T75" s="1680">
        <v>0</v>
      </c>
    </row>
    <row r="76" spans="1:20" hidden="1">
      <c r="A76" s="1629">
        <v>8811</v>
      </c>
      <c r="B76" s="1681" t="s">
        <v>1684</v>
      </c>
      <c r="C76" s="1635">
        <v>116309934</v>
      </c>
      <c r="D76" s="1641"/>
      <c r="E76" s="1642">
        <v>116309934</v>
      </c>
      <c r="F76" s="1633">
        <v>124486788</v>
      </c>
      <c r="G76" s="1634">
        <v>124721201.45999999</v>
      </c>
      <c r="H76" s="1635"/>
      <c r="I76" s="1636"/>
      <c r="J76" s="1637">
        <v>124721201.45999999</v>
      </c>
      <c r="K76" s="1649">
        <v>124721201.45999999</v>
      </c>
      <c r="L76" s="1700">
        <v>0</v>
      </c>
      <c r="M76" s="1686">
        <v>124721201.45999999</v>
      </c>
      <c r="N76" s="1648">
        <v>1.0826</v>
      </c>
      <c r="O76" s="1682">
        <v>135023172.700596</v>
      </c>
      <c r="P76" s="1637">
        <v>-1000000</v>
      </c>
      <c r="Q76" s="1646">
        <v>134023172.700596</v>
      </c>
      <c r="S76" s="1772">
        <v>124962323.29000001</v>
      </c>
      <c r="T76" s="1680">
        <v>-241121.83000001311</v>
      </c>
    </row>
    <row r="77" spans="1:20" hidden="1">
      <c r="A77" s="1629">
        <v>8812</v>
      </c>
      <c r="B77" s="1681" t="s">
        <v>1685</v>
      </c>
      <c r="C77" s="1635">
        <v>4477424</v>
      </c>
      <c r="D77" s="1641"/>
      <c r="E77" s="1642">
        <v>4477424</v>
      </c>
      <c r="F77" s="1633">
        <v>4830693</v>
      </c>
      <c r="G77" s="1634">
        <v>4472357</v>
      </c>
      <c r="H77" s="1635"/>
      <c r="I77" s="1636"/>
      <c r="J77" s="1637">
        <v>4472357</v>
      </c>
      <c r="K77" s="1649">
        <v>4472357</v>
      </c>
      <c r="L77" s="1699">
        <v>0</v>
      </c>
      <c r="M77" s="1686">
        <v>4472357</v>
      </c>
      <c r="N77" s="1648">
        <v>1.0826</v>
      </c>
      <c r="O77" s="1682">
        <v>4841773.6881999997</v>
      </c>
      <c r="P77" s="1637"/>
      <c r="Q77" s="1646">
        <v>4841773.6881999997</v>
      </c>
      <c r="S77" s="1772">
        <v>4289836.54</v>
      </c>
      <c r="T77" s="1680">
        <v>182520.45999999996</v>
      </c>
    </row>
    <row r="78" spans="1:20" hidden="1">
      <c r="A78" s="1629" t="s">
        <v>1686</v>
      </c>
      <c r="B78" s="1616" t="s">
        <v>1687</v>
      </c>
      <c r="C78" s="1635">
        <v>50171</v>
      </c>
      <c r="D78" s="1641"/>
      <c r="E78" s="1642">
        <v>50171</v>
      </c>
      <c r="F78" s="1633">
        <v>54129</v>
      </c>
      <c r="G78" s="1637"/>
      <c r="H78" s="1643"/>
      <c r="I78" s="1636"/>
      <c r="J78" s="1637">
        <v>0</v>
      </c>
      <c r="K78" s="1644" t="e">
        <v>#REF!</v>
      </c>
      <c r="L78" s="1699">
        <v>0</v>
      </c>
      <c r="M78" s="1686" t="e">
        <v>#REF!</v>
      </c>
      <c r="O78" s="1640" t="e">
        <v>#REF!</v>
      </c>
      <c r="P78" s="1637"/>
      <c r="Q78" s="1646" t="e">
        <v>#REF!</v>
      </c>
      <c r="S78" s="1772">
        <v>67008.11</v>
      </c>
      <c r="T78" s="1680" t="e">
        <v>#REF!</v>
      </c>
    </row>
    <row r="79" spans="1:20" hidden="1">
      <c r="A79" s="1629">
        <v>8813</v>
      </c>
      <c r="B79" s="1681" t="s">
        <v>915</v>
      </c>
      <c r="C79" s="1635">
        <v>5317118</v>
      </c>
      <c r="D79" s="1641"/>
      <c r="E79" s="1642">
        <v>5317118</v>
      </c>
      <c r="F79" s="1633">
        <v>5736638</v>
      </c>
      <c r="G79" s="1634">
        <v>5884839.2000000002</v>
      </c>
      <c r="H79" s="1635"/>
      <c r="I79" s="1636"/>
      <c r="J79" s="1637">
        <v>5884839.2000000002</v>
      </c>
      <c r="K79" s="1649">
        <v>5884839.2000000002</v>
      </c>
      <c r="L79" s="1699">
        <v>0</v>
      </c>
      <c r="M79" s="1686">
        <v>5884839.2000000002</v>
      </c>
      <c r="N79" s="1648">
        <v>1.0826</v>
      </c>
      <c r="O79" s="1682">
        <v>6370926.9179199999</v>
      </c>
      <c r="P79" s="1637"/>
      <c r="Q79" s="1646">
        <v>6370926.9179199999</v>
      </c>
      <c r="S79" s="1772">
        <v>5884839.2000000002</v>
      </c>
      <c r="T79" s="1680">
        <v>0</v>
      </c>
    </row>
    <row r="80" spans="1:20" hidden="1">
      <c r="A80" s="1629" t="s">
        <v>1558</v>
      </c>
      <c r="B80" s="1651" t="s">
        <v>1688</v>
      </c>
      <c r="C80" s="1635">
        <v>154770</v>
      </c>
      <c r="D80" s="1641"/>
      <c r="E80" s="1642">
        <v>154770</v>
      </c>
      <c r="F80" s="1633">
        <v>166982</v>
      </c>
      <c r="G80" s="1637"/>
      <c r="H80" s="1643"/>
      <c r="I80" s="1636"/>
      <c r="J80" s="1637">
        <v>0</v>
      </c>
      <c r="K80" s="1695" t="e">
        <v>#REF!</v>
      </c>
      <c r="L80" s="1699">
        <v>0</v>
      </c>
      <c r="M80" s="1697" t="e">
        <v>#REF!</v>
      </c>
      <c r="O80" s="1640" t="e">
        <v>#REF!</v>
      </c>
      <c r="P80" s="1637"/>
      <c r="Q80" s="1646" t="e">
        <v>#REF!</v>
      </c>
      <c r="S80" s="1697"/>
      <c r="T80" s="1680" t="e">
        <v>#REF!</v>
      </c>
    </row>
    <row r="81" spans="1:20" hidden="1">
      <c r="A81" s="1629" t="s">
        <v>1559</v>
      </c>
      <c r="B81" s="1616" t="s">
        <v>1689</v>
      </c>
      <c r="C81" s="1635">
        <v>-128770</v>
      </c>
      <c r="D81" s="1641"/>
      <c r="E81" s="1642">
        <v>-128770</v>
      </c>
      <c r="F81" s="1633">
        <v>-138930</v>
      </c>
      <c r="G81" s="1634">
        <v>186732.4</v>
      </c>
      <c r="H81" s="1635"/>
      <c r="I81" s="1636"/>
      <c r="J81" s="1637">
        <v>186732.4</v>
      </c>
      <c r="K81" s="1649">
        <v>186732.4</v>
      </c>
      <c r="L81" s="1699">
        <v>0</v>
      </c>
      <c r="M81" s="1686">
        <v>186732.4</v>
      </c>
      <c r="N81" s="1648">
        <v>1.0826</v>
      </c>
      <c r="O81" s="1682">
        <v>202156.49624000001</v>
      </c>
      <c r="P81" s="1637"/>
      <c r="Q81" s="1646">
        <v>202156.49624000001</v>
      </c>
      <c r="S81" s="1772">
        <v>204618.87</v>
      </c>
      <c r="T81" s="1680">
        <v>-17886.47</v>
      </c>
    </row>
    <row r="82" spans="1:20" hidden="1">
      <c r="A82" s="1629">
        <v>8818</v>
      </c>
      <c r="B82" s="1681" t="s">
        <v>1690</v>
      </c>
      <c r="C82" s="1635">
        <v>314895</v>
      </c>
      <c r="D82" s="1641"/>
      <c r="E82" s="1642">
        <v>314895</v>
      </c>
      <c r="F82" s="1633">
        <v>339740</v>
      </c>
      <c r="G82" s="1634">
        <v>364748.18</v>
      </c>
      <c r="H82" s="1635"/>
      <c r="I82" s="1636"/>
      <c r="J82" s="1637">
        <v>364748.18</v>
      </c>
      <c r="K82" s="1649">
        <v>364748.18</v>
      </c>
      <c r="L82" s="1699">
        <v>0</v>
      </c>
      <c r="M82" s="1686">
        <v>364748.18</v>
      </c>
      <c r="N82" s="1648">
        <v>1.0826</v>
      </c>
      <c r="O82" s="1682">
        <v>394876.37966799998</v>
      </c>
      <c r="P82" s="1637"/>
      <c r="Q82" s="1646">
        <v>394876.37966799998</v>
      </c>
      <c r="S82" s="1772">
        <v>372416.23</v>
      </c>
      <c r="T82" s="1680">
        <v>-7668.0499999999884</v>
      </c>
    </row>
    <row r="83" spans="1:20" hidden="1">
      <c r="A83" s="1629" t="s">
        <v>1560</v>
      </c>
      <c r="B83" s="1681" t="s">
        <v>1691</v>
      </c>
      <c r="C83" s="1635">
        <v>179789.61</v>
      </c>
      <c r="D83" s="1641"/>
      <c r="E83" s="1642">
        <v>179789.61</v>
      </c>
      <c r="F83" s="1633">
        <v>193975</v>
      </c>
      <c r="G83" s="1642">
        <v>0</v>
      </c>
      <c r="H83" s="1635"/>
      <c r="I83" s="1636"/>
      <c r="J83" s="1637">
        <v>0</v>
      </c>
      <c r="K83" s="1695" t="e">
        <v>#REF!</v>
      </c>
      <c r="L83" s="1701" t="e">
        <v>#REF!</v>
      </c>
      <c r="M83" s="1697" t="e">
        <v>#REF!</v>
      </c>
      <c r="N83" s="1648">
        <v>1.0826</v>
      </c>
      <c r="O83" s="1682" t="e">
        <v>#REF!</v>
      </c>
      <c r="P83" s="1637"/>
      <c r="Q83" s="1646" t="e">
        <v>#REF!</v>
      </c>
      <c r="S83" s="1697">
        <v>193156</v>
      </c>
      <c r="T83" s="1680" t="e">
        <v>#REF!</v>
      </c>
    </row>
    <row r="84" spans="1:20" hidden="1">
      <c r="A84" s="1653" t="s">
        <v>1565</v>
      </c>
      <c r="B84" s="1683" t="s">
        <v>1692</v>
      </c>
      <c r="C84" s="1654"/>
      <c r="D84" s="1655">
        <v>1923794</v>
      </c>
      <c r="E84" s="1642">
        <v>1923794</v>
      </c>
      <c r="F84" s="1656"/>
      <c r="G84" s="1656"/>
      <c r="H84" s="1657">
        <v>1985618</v>
      </c>
      <c r="I84" s="1658"/>
      <c r="J84" s="1637">
        <v>1985618</v>
      </c>
      <c r="K84" s="1695" t="e">
        <v>#REF!</v>
      </c>
      <c r="L84" s="1701" t="e">
        <v>#REF!</v>
      </c>
      <c r="M84" s="1697" t="e">
        <v>#REF!</v>
      </c>
      <c r="N84" s="1698">
        <v>1.03</v>
      </c>
      <c r="O84" s="1682" t="e">
        <v>#REF!</v>
      </c>
      <c r="P84" s="1656"/>
      <c r="Q84" s="1646" t="e">
        <v>#REF!</v>
      </c>
      <c r="R84" s="1661" t="s">
        <v>1707</v>
      </c>
      <c r="S84" s="1775">
        <v>2278451</v>
      </c>
      <c r="T84" s="1680" t="e">
        <v>#REF!</v>
      </c>
    </row>
    <row r="85" spans="1:20" hidden="1">
      <c r="A85" s="1629" t="s">
        <v>1693</v>
      </c>
      <c r="B85" s="1616" t="s">
        <v>1694</v>
      </c>
      <c r="C85" s="1635">
        <v>0</v>
      </c>
      <c r="D85" s="1641"/>
      <c r="E85" s="1642">
        <v>0</v>
      </c>
      <c r="F85" s="1633"/>
      <c r="G85" s="1637"/>
      <c r="H85" s="1643"/>
      <c r="I85" s="1636"/>
      <c r="J85" s="1637">
        <v>0</v>
      </c>
      <c r="K85" s="1644"/>
      <c r="L85" s="1699">
        <v>0</v>
      </c>
      <c r="M85" s="1640">
        <v>0</v>
      </c>
      <c r="O85" s="1640">
        <v>0</v>
      </c>
      <c r="P85" s="1637"/>
      <c r="Q85" s="1646">
        <v>0</v>
      </c>
      <c r="S85" s="1640">
        <v>0</v>
      </c>
      <c r="T85" s="1680">
        <v>0</v>
      </c>
    </row>
    <row r="86" spans="1:20" hidden="1">
      <c r="A86" s="1629" t="s">
        <v>1561</v>
      </c>
      <c r="B86" s="1681" t="s">
        <v>1695</v>
      </c>
      <c r="C86" s="1635">
        <v>2045</v>
      </c>
      <c r="D86" s="1641"/>
      <c r="E86" s="1642">
        <v>2045</v>
      </c>
      <c r="F86" s="1633">
        <v>2206</v>
      </c>
      <c r="G86" s="1642">
        <v>0</v>
      </c>
      <c r="H86" s="1635"/>
      <c r="I86" s="1636"/>
      <c r="J86" s="1637">
        <v>0</v>
      </c>
      <c r="K86" s="1644" t="e">
        <v>#REF!</v>
      </c>
      <c r="L86" s="1699" t="e">
        <v>#REF!</v>
      </c>
      <c r="M86" s="1697" t="e">
        <v>#REF!</v>
      </c>
      <c r="N86" s="1648">
        <v>1.0826</v>
      </c>
      <c r="O86" s="1682" t="e">
        <v>#REF!</v>
      </c>
      <c r="P86" s="1637"/>
      <c r="Q86" s="1646" t="e">
        <v>#REF!</v>
      </c>
      <c r="S86" s="1775">
        <v>2140</v>
      </c>
      <c r="T86" s="1680" t="e">
        <v>#REF!</v>
      </c>
    </row>
    <row r="87" spans="1:20" hidden="1">
      <c r="A87" s="1629" t="s">
        <v>1562</v>
      </c>
      <c r="B87" s="1616" t="s">
        <v>1696</v>
      </c>
      <c r="C87" s="1635">
        <v>294816</v>
      </c>
      <c r="D87" s="1641"/>
      <c r="E87" s="1642">
        <v>294816</v>
      </c>
      <c r="F87" s="1633">
        <v>318078</v>
      </c>
      <c r="G87" s="1634">
        <v>79999.75</v>
      </c>
      <c r="H87" s="1635"/>
      <c r="I87" s="1636"/>
      <c r="J87" s="1637">
        <v>79999.75</v>
      </c>
      <c r="K87" s="1649" t="e">
        <v>#REF!</v>
      </c>
      <c r="L87" s="1699">
        <v>0</v>
      </c>
      <c r="M87" s="1686" t="e">
        <v>#REF!</v>
      </c>
      <c r="O87" s="1640">
        <v>0</v>
      </c>
      <c r="P87" s="1637"/>
      <c r="Q87" s="1646">
        <v>0</v>
      </c>
      <c r="S87" s="1772">
        <v>607954.74</v>
      </c>
      <c r="T87" s="1680" t="e">
        <v>#REF!</v>
      </c>
    </row>
    <row r="88" spans="1:20" hidden="1">
      <c r="A88" s="1629" t="s">
        <v>1563</v>
      </c>
      <c r="B88" s="1616" t="s">
        <v>1557</v>
      </c>
      <c r="C88" s="1635">
        <v>17303</v>
      </c>
      <c r="D88" s="1641"/>
      <c r="E88" s="1642">
        <v>17303</v>
      </c>
      <c r="F88" s="1633">
        <v>18668</v>
      </c>
      <c r="G88" s="1637"/>
      <c r="H88" s="1643"/>
      <c r="I88" s="1636"/>
      <c r="J88" s="1637">
        <v>0</v>
      </c>
      <c r="K88" s="1644"/>
      <c r="L88" s="1699">
        <v>0</v>
      </c>
      <c r="M88" s="1640">
        <v>0</v>
      </c>
      <c r="O88" s="1640">
        <v>0</v>
      </c>
      <c r="P88" s="1637"/>
      <c r="Q88" s="1646">
        <v>0</v>
      </c>
      <c r="S88" s="1640">
        <v>0</v>
      </c>
      <c r="T88" s="1680">
        <v>0</v>
      </c>
    </row>
    <row r="89" spans="1:20" ht="16.5" hidden="1" thickBot="1">
      <c r="A89" s="1629" t="s">
        <v>1564</v>
      </c>
      <c r="B89" s="1681" t="s">
        <v>1697</v>
      </c>
      <c r="C89" s="1662">
        <v>6609366</v>
      </c>
      <c r="D89" s="1663"/>
      <c r="E89" s="1664">
        <v>6609366</v>
      </c>
      <c r="F89" s="1665">
        <v>7130845</v>
      </c>
      <c r="G89" s="1693">
        <v>7516606.8099999996</v>
      </c>
      <c r="H89" s="1662"/>
      <c r="I89" s="1666"/>
      <c r="J89" s="1637">
        <v>7516606.8099999996</v>
      </c>
      <c r="K89" s="1649">
        <v>7516606.8099999996</v>
      </c>
      <c r="L89" s="1700">
        <v>0</v>
      </c>
      <c r="M89" s="1686">
        <v>7516606.8099999996</v>
      </c>
      <c r="N89" s="1648">
        <v>1.0826</v>
      </c>
      <c r="O89" s="1682">
        <v>8137478.5325059993</v>
      </c>
      <c r="P89" s="1667"/>
      <c r="Q89" s="1646">
        <v>8137478.5325059993</v>
      </c>
      <c r="R89" s="1680" t="e">
        <v>#REF!</v>
      </c>
      <c r="S89" s="1772">
        <v>6850286.4199999999</v>
      </c>
      <c r="T89" s="1680">
        <v>666320.38999999966</v>
      </c>
    </row>
    <row r="90" spans="1:20" ht="16.5" hidden="1" thickBot="1">
      <c r="C90" s="1668">
        <v>134212875.52</v>
      </c>
      <c r="D90" s="1669">
        <v>1923794</v>
      </c>
      <c r="E90" s="1670">
        <v>136136669.51999998</v>
      </c>
      <c r="F90" s="1668">
        <v>143802271</v>
      </c>
      <c r="G90" s="1669">
        <v>143826576.59999999</v>
      </c>
      <c r="H90" s="1669">
        <v>1985618</v>
      </c>
      <c r="I90" s="1669">
        <v>0</v>
      </c>
      <c r="J90" s="1671">
        <v>145812194.59999999</v>
      </c>
      <c r="K90" s="1672" t="e">
        <v>#REF!</v>
      </c>
      <c r="L90" s="1672" t="e">
        <v>#REF!</v>
      </c>
      <c r="M90" s="1672" t="e">
        <v>#REF!</v>
      </c>
      <c r="N90" s="1622"/>
      <c r="O90" s="1673" t="e">
        <v>#REF!</v>
      </c>
      <c r="P90" s="1674">
        <v>-1000000</v>
      </c>
      <c r="Q90" s="1675" t="e">
        <v>#REF!</v>
      </c>
      <c r="S90" s="1680">
        <v>146316399.93000001</v>
      </c>
      <c r="T90" s="1680" t="e">
        <v>#REF!</v>
      </c>
    </row>
    <row r="91" spans="1:20" hidden="1">
      <c r="C91" s="1676"/>
      <c r="D91" s="1676"/>
      <c r="E91" s="1676"/>
      <c r="F91" s="1676"/>
      <c r="G91" s="1676"/>
      <c r="H91" s="1676">
        <v>145812194.59999999</v>
      </c>
      <c r="I91" s="1676"/>
      <c r="L91" s="1677"/>
      <c r="P91" s="1676"/>
      <c r="Q91" s="1776" t="s">
        <v>1750</v>
      </c>
      <c r="R91" s="1777"/>
      <c r="S91" s="1777"/>
    </row>
    <row r="92" spans="1:20" hidden="1">
      <c r="B92" s="1681" t="s">
        <v>1698</v>
      </c>
      <c r="C92" s="1684"/>
      <c r="D92" s="1676"/>
      <c r="E92" s="1676"/>
      <c r="F92" s="1678" t="s">
        <v>1699</v>
      </c>
      <c r="G92" s="1679">
        <v>5.6486669661551359E-2</v>
      </c>
      <c r="H92" s="1676"/>
      <c r="I92" s="1676"/>
      <c r="P92" s="1676"/>
      <c r="R92" s="1727" t="e">
        <v>#REF!</v>
      </c>
    </row>
    <row r="93" spans="1:20" hidden="1">
      <c r="M93" s="1681" t="s">
        <v>1700</v>
      </c>
      <c r="N93" s="1681"/>
      <c r="O93" s="1681"/>
      <c r="P93" s="1681"/>
      <c r="Q93" s="1681"/>
    </row>
    <row r="94" spans="1:20" hidden="1">
      <c r="F94" s="1679">
        <v>7.1449147057213835E-2</v>
      </c>
      <c r="J94" s="1679">
        <v>7.1072144735982112E-2</v>
      </c>
      <c r="S94" s="1680" t="e">
        <v>#REF!</v>
      </c>
    </row>
    <row r="95" spans="1:20" hidden="1">
      <c r="G95" s="1616" t="s">
        <v>1701</v>
      </c>
      <c r="S95" s="1746" t="e">
        <v>#REF!</v>
      </c>
    </row>
    <row r="96" spans="1:20" hidden="1">
      <c r="Q96" s="1680"/>
      <c r="S96" s="1746" t="e">
        <v>#REF!</v>
      </c>
    </row>
    <row r="97" spans="1:17" hidden="1"/>
    <row r="98" spans="1:17" hidden="1">
      <c r="Q98" s="1726"/>
    </row>
    <row r="99" spans="1:17" s="1789" customFormat="1" ht="46.5">
      <c r="B99" s="1790" t="s">
        <v>1748</v>
      </c>
      <c r="C99" s="1791" t="s">
        <v>1738</v>
      </c>
      <c r="E99" s="1792">
        <v>8.0299999999999996E-2</v>
      </c>
      <c r="I99" s="1793" t="s">
        <v>1756</v>
      </c>
    </row>
    <row r="101" spans="1:17" ht="16.5" thickBot="1">
      <c r="C101" s="1617" t="s">
        <v>1306</v>
      </c>
      <c r="D101" s="1617"/>
      <c r="E101" s="1618"/>
      <c r="F101" s="1617" t="s">
        <v>1668</v>
      </c>
      <c r="G101" s="1617" t="s">
        <v>1668</v>
      </c>
      <c r="H101" s="1617"/>
      <c r="K101" s="1616" t="s">
        <v>1669</v>
      </c>
      <c r="P101" s="1757" t="s">
        <v>1757</v>
      </c>
    </row>
    <row r="102" spans="1:17" ht="48" thickBot="1">
      <c r="C102" s="1619" t="s">
        <v>520</v>
      </c>
      <c r="D102" s="1620"/>
      <c r="E102" s="1621" t="s">
        <v>1670</v>
      </c>
      <c r="F102" s="1622" t="s">
        <v>1671</v>
      </c>
      <c r="G102" s="1690" t="s">
        <v>1705</v>
      </c>
      <c r="H102" s="1691"/>
      <c r="I102" s="1624" t="s">
        <v>1673</v>
      </c>
      <c r="J102" s="1622" t="s">
        <v>1674</v>
      </c>
      <c r="K102" s="1692" t="s">
        <v>1706</v>
      </c>
      <c r="L102" s="1692" t="s">
        <v>1676</v>
      </c>
      <c r="M102" s="1771" t="s">
        <v>1749</v>
      </c>
      <c r="N102" s="1626" t="s">
        <v>1678</v>
      </c>
      <c r="O102" s="1627" t="s">
        <v>1679</v>
      </c>
      <c r="P102" s="1627" t="s">
        <v>1673</v>
      </c>
      <c r="Q102" s="1628" t="s">
        <v>1680</v>
      </c>
    </row>
    <row r="103" spans="1:17">
      <c r="A103" s="1629">
        <v>8672</v>
      </c>
      <c r="B103" s="1681" t="s">
        <v>1681</v>
      </c>
      <c r="C103" s="1630">
        <v>600689</v>
      </c>
      <c r="D103" s="1631"/>
      <c r="E103" s="1632">
        <v>600689</v>
      </c>
      <c r="F103" s="1633">
        <v>648083</v>
      </c>
      <c r="G103" s="1634"/>
      <c r="H103" s="1635"/>
      <c r="I103" s="1636"/>
      <c r="J103" s="1637"/>
      <c r="K103" s="1694"/>
      <c r="L103" s="1639"/>
      <c r="M103" s="1773">
        <v>592032.24</v>
      </c>
      <c r="N103" s="1648">
        <v>1.0803</v>
      </c>
      <c r="O103" s="1682">
        <v>639572.42887199996</v>
      </c>
      <c r="P103" s="1637">
        <v>0</v>
      </c>
      <c r="Q103" s="1640">
        <v>639572.42887199996</v>
      </c>
    </row>
    <row r="104" spans="1:17">
      <c r="A104" s="1629">
        <v>8679</v>
      </c>
      <c r="B104" s="1616" t="s">
        <v>1682</v>
      </c>
      <c r="C104" s="1635">
        <v>3393</v>
      </c>
      <c r="D104" s="1641"/>
      <c r="E104" s="1642">
        <v>3393</v>
      </c>
      <c r="F104" s="1633">
        <v>3661</v>
      </c>
      <c r="G104" s="1637"/>
      <c r="H104" s="1643"/>
      <c r="I104" s="1636"/>
      <c r="J104" s="1637"/>
      <c r="K104" s="1644"/>
      <c r="L104" s="1699"/>
      <c r="M104" s="1774">
        <v>2152.66</v>
      </c>
      <c r="O104" s="1640">
        <v>2152.66</v>
      </c>
      <c r="P104" s="1637"/>
      <c r="Q104" s="1646">
        <v>2152.66</v>
      </c>
    </row>
    <row r="105" spans="1:17">
      <c r="A105" s="1629">
        <v>8684</v>
      </c>
      <c r="B105" s="1616" t="s">
        <v>1683</v>
      </c>
      <c r="C105" s="1635">
        <v>813.91</v>
      </c>
      <c r="D105" s="1641"/>
      <c r="E105" s="1642">
        <v>813.91</v>
      </c>
      <c r="F105" s="1633">
        <v>878</v>
      </c>
      <c r="G105" s="1637"/>
      <c r="H105" s="1643"/>
      <c r="I105" s="1636"/>
      <c r="J105" s="1637"/>
      <c r="K105" s="1644"/>
      <c r="L105" s="1699"/>
      <c r="M105" s="1774">
        <v>839.04</v>
      </c>
      <c r="O105" s="1640">
        <v>839.04</v>
      </c>
      <c r="P105" s="1637"/>
      <c r="Q105" s="1646">
        <v>839.04</v>
      </c>
    </row>
    <row r="106" spans="1:17">
      <c r="A106" s="1629">
        <v>8698</v>
      </c>
      <c r="B106" s="1616" t="s">
        <v>916</v>
      </c>
      <c r="C106" s="1635">
        <v>9118</v>
      </c>
      <c r="D106" s="1641"/>
      <c r="E106" s="1642">
        <v>9118</v>
      </c>
      <c r="F106" s="1633">
        <v>9837</v>
      </c>
      <c r="G106" s="1696"/>
      <c r="H106" s="1635"/>
      <c r="I106" s="1636"/>
      <c r="J106" s="1637"/>
      <c r="K106" s="1649"/>
      <c r="L106" s="1699"/>
      <c r="M106" s="1772">
        <v>8345.59</v>
      </c>
      <c r="O106" s="1640">
        <v>8345.59</v>
      </c>
      <c r="P106" s="1637"/>
      <c r="Q106" s="1646">
        <v>8345.59</v>
      </c>
    </row>
    <row r="107" spans="1:17">
      <c r="A107" s="1629">
        <v>8810</v>
      </c>
      <c r="B107" s="1616" t="s">
        <v>314</v>
      </c>
      <c r="C107" s="1635">
        <v>0</v>
      </c>
      <c r="D107" s="1641"/>
      <c r="E107" s="1642">
        <v>0</v>
      </c>
      <c r="F107" s="1633"/>
      <c r="G107" s="1637"/>
      <c r="H107" s="1643"/>
      <c r="I107" s="1636"/>
      <c r="J107" s="1637"/>
      <c r="K107" s="1644"/>
      <c r="L107" s="1699"/>
      <c r="M107" s="1686">
        <v>0</v>
      </c>
      <c r="O107" s="1640">
        <v>0</v>
      </c>
      <c r="P107" s="1637"/>
      <c r="Q107" s="1646">
        <v>0</v>
      </c>
    </row>
    <row r="108" spans="1:17">
      <c r="A108" s="1629">
        <v>8811</v>
      </c>
      <c r="B108" s="1681" t="s">
        <v>1684</v>
      </c>
      <c r="C108" s="1635">
        <v>116309934</v>
      </c>
      <c r="D108" s="1641"/>
      <c r="E108" s="1642">
        <v>116309934</v>
      </c>
      <c r="F108" s="1633">
        <v>124486788</v>
      </c>
      <c r="G108" s="1634"/>
      <c r="H108" s="1635"/>
      <c r="I108" s="1636"/>
      <c r="J108" s="1637"/>
      <c r="K108" s="1649"/>
      <c r="L108" s="1700"/>
      <c r="M108" s="1772">
        <v>124962323.29000001</v>
      </c>
      <c r="N108" s="1648">
        <v>1.0803</v>
      </c>
      <c r="O108" s="1682">
        <v>134996797.850187</v>
      </c>
      <c r="P108" s="1637"/>
      <c r="Q108" s="1646">
        <v>134996797.850187</v>
      </c>
    </row>
    <row r="109" spans="1:17">
      <c r="A109" s="1629">
        <v>8812</v>
      </c>
      <c r="B109" s="1681" t="s">
        <v>1685</v>
      </c>
      <c r="C109" s="1635">
        <v>4477424</v>
      </c>
      <c r="D109" s="1641"/>
      <c r="E109" s="1642">
        <v>4477424</v>
      </c>
      <c r="F109" s="1633">
        <v>4830693</v>
      </c>
      <c r="G109" s="1634"/>
      <c r="H109" s="1635"/>
      <c r="I109" s="1636"/>
      <c r="J109" s="1637"/>
      <c r="K109" s="1649"/>
      <c r="L109" s="1699"/>
      <c r="M109" s="1772">
        <v>4289836.54</v>
      </c>
      <c r="N109" s="1648">
        <v>1.0803</v>
      </c>
      <c r="O109" s="1682">
        <v>4634310.4141620006</v>
      </c>
      <c r="P109" s="1637"/>
      <c r="Q109" s="1646">
        <v>4634310.4141620006</v>
      </c>
    </row>
    <row r="110" spans="1:17">
      <c r="A110" s="1629" t="s">
        <v>1686</v>
      </c>
      <c r="B110" s="1616" t="s">
        <v>1687</v>
      </c>
      <c r="C110" s="1635">
        <v>50171</v>
      </c>
      <c r="D110" s="1641"/>
      <c r="E110" s="1642">
        <v>50171</v>
      </c>
      <c r="F110" s="1633">
        <v>54129</v>
      </c>
      <c r="G110" s="1637"/>
      <c r="H110" s="1643"/>
      <c r="I110" s="1636"/>
      <c r="J110" s="1637"/>
      <c r="K110" s="1644"/>
      <c r="L110" s="1699"/>
      <c r="M110" s="1772">
        <v>67008.11</v>
      </c>
      <c r="O110" s="1640">
        <v>67008.11</v>
      </c>
      <c r="P110" s="1637"/>
      <c r="Q110" s="1646">
        <v>67008.11</v>
      </c>
    </row>
    <row r="111" spans="1:17">
      <c r="A111" s="1629">
        <v>8813</v>
      </c>
      <c r="B111" s="1681" t="s">
        <v>915</v>
      </c>
      <c r="C111" s="1635">
        <v>5317118</v>
      </c>
      <c r="D111" s="1641"/>
      <c r="E111" s="1642">
        <v>5317118</v>
      </c>
      <c r="F111" s="1633">
        <v>5736638</v>
      </c>
      <c r="G111" s="1634"/>
      <c r="H111" s="1635"/>
      <c r="I111" s="1636"/>
      <c r="J111" s="1637"/>
      <c r="K111" s="1649"/>
      <c r="L111" s="1699"/>
      <c r="M111" s="1772">
        <v>5884839.2000000002</v>
      </c>
      <c r="N111" s="1648">
        <v>1.0803</v>
      </c>
      <c r="O111" s="1682">
        <v>6357391.7877600007</v>
      </c>
      <c r="P111" s="1637"/>
      <c r="Q111" s="1646">
        <v>6357391.7877600007</v>
      </c>
    </row>
    <row r="112" spans="1:17">
      <c r="A112" s="1629" t="s">
        <v>1558</v>
      </c>
      <c r="B112" s="1651" t="s">
        <v>1688</v>
      </c>
      <c r="C112" s="1635">
        <v>154770</v>
      </c>
      <c r="D112" s="1641"/>
      <c r="E112" s="1642">
        <v>154770</v>
      </c>
      <c r="F112" s="1633">
        <v>166982</v>
      </c>
      <c r="G112" s="1637"/>
      <c r="H112" s="1643"/>
      <c r="I112" s="1636"/>
      <c r="J112" s="1637"/>
      <c r="K112" s="1695"/>
      <c r="L112" s="1699"/>
      <c r="M112" s="1697">
        <v>0</v>
      </c>
      <c r="O112" s="1640">
        <v>0</v>
      </c>
      <c r="P112" s="1637"/>
      <c r="Q112" s="1646">
        <v>0</v>
      </c>
    </row>
    <row r="113" spans="1:29">
      <c r="A113" s="1629" t="s">
        <v>1559</v>
      </c>
      <c r="B113" s="1616" t="s">
        <v>1689</v>
      </c>
      <c r="C113" s="1635">
        <v>-128770</v>
      </c>
      <c r="D113" s="1641"/>
      <c r="E113" s="1642">
        <v>-128770</v>
      </c>
      <c r="F113" s="1633">
        <v>-138930</v>
      </c>
      <c r="G113" s="1634"/>
      <c r="H113" s="1635"/>
      <c r="I113" s="1636"/>
      <c r="J113" s="1637"/>
      <c r="K113" s="1649"/>
      <c r="L113" s="1699"/>
      <c r="M113" s="1772">
        <v>204618.87</v>
      </c>
      <c r="N113" s="1648">
        <v>1</v>
      </c>
      <c r="O113" s="1682">
        <v>204618.87</v>
      </c>
      <c r="P113" s="1637"/>
      <c r="Q113" s="1646">
        <v>204618.87</v>
      </c>
    </row>
    <row r="114" spans="1:29" ht="16.5" thickBot="1">
      <c r="A114" s="1629">
        <v>8818</v>
      </c>
      <c r="B114" s="1681" t="s">
        <v>1690</v>
      </c>
      <c r="C114" s="1635">
        <v>314895</v>
      </c>
      <c r="D114" s="1641"/>
      <c r="E114" s="1642">
        <v>314895</v>
      </c>
      <c r="F114" s="1633">
        <v>339740</v>
      </c>
      <c r="G114" s="1634"/>
      <c r="H114" s="1635"/>
      <c r="I114" s="1636"/>
      <c r="J114" s="1637"/>
      <c r="K114" s="1649"/>
      <c r="L114" s="1699"/>
      <c r="M114" s="1772">
        <v>372416.23</v>
      </c>
      <c r="N114" s="1648">
        <v>1</v>
      </c>
      <c r="O114" s="1682">
        <v>372416.23</v>
      </c>
      <c r="P114" s="1637"/>
      <c r="Q114" s="1646">
        <v>372416.23</v>
      </c>
    </row>
    <row r="115" spans="1:29">
      <c r="A115" s="1629" t="s">
        <v>1560</v>
      </c>
      <c r="B115" s="1681" t="s">
        <v>1691</v>
      </c>
      <c r="C115" s="1635">
        <v>179789.61</v>
      </c>
      <c r="D115" s="1641"/>
      <c r="E115" s="1642">
        <v>179789.61</v>
      </c>
      <c r="F115" s="1633">
        <v>193975</v>
      </c>
      <c r="G115" s="1642"/>
      <c r="H115" s="1635"/>
      <c r="I115" s="1636"/>
      <c r="J115" s="1637"/>
      <c r="K115" s="1695"/>
      <c r="L115" s="1701"/>
      <c r="M115" s="1775">
        <v>193156</v>
      </c>
      <c r="N115" s="1648">
        <v>1</v>
      </c>
      <c r="O115" s="1682">
        <v>193156</v>
      </c>
      <c r="P115" s="1637"/>
      <c r="Q115" s="1646">
        <v>193156</v>
      </c>
      <c r="U115" s="1778">
        <v>372416.23</v>
      </c>
      <c r="V115" s="1620"/>
      <c r="W115" s="1620"/>
      <c r="X115" s="1620"/>
      <c r="Y115" s="1620"/>
      <c r="Z115" s="1620"/>
      <c r="AA115" s="1620"/>
      <c r="AB115" s="1620"/>
      <c r="AC115" s="1779"/>
    </row>
    <row r="116" spans="1:29">
      <c r="A116" s="1653" t="s">
        <v>1565</v>
      </c>
      <c r="B116" s="1683" t="s">
        <v>1692</v>
      </c>
      <c r="C116" s="1654"/>
      <c r="D116" s="1655">
        <v>1923794</v>
      </c>
      <c r="E116" s="1642">
        <v>1923794</v>
      </c>
      <c r="F116" s="1656"/>
      <c r="G116" s="1656"/>
      <c r="H116" s="1657"/>
      <c r="I116" s="1658"/>
      <c r="J116" s="1637"/>
      <c r="K116" s="1695"/>
      <c r="L116" s="1701"/>
      <c r="M116" s="1775">
        <v>2278451</v>
      </c>
      <c r="N116" s="1648">
        <v>1</v>
      </c>
      <c r="O116" s="1682">
        <v>2278451</v>
      </c>
      <c r="P116" s="1656"/>
      <c r="Q116" s="1646">
        <v>2278451</v>
      </c>
      <c r="R116" s="1661"/>
      <c r="U116" s="1780">
        <v>193156</v>
      </c>
      <c r="V116" s="1618"/>
      <c r="W116" s="1618"/>
      <c r="X116" s="1618"/>
      <c r="Y116" s="1618"/>
      <c r="Z116" s="1618"/>
      <c r="AA116" s="1618"/>
      <c r="AB116" s="1618"/>
      <c r="AC116" s="1781"/>
    </row>
    <row r="117" spans="1:29">
      <c r="A117" s="1629" t="s">
        <v>1693</v>
      </c>
      <c r="B117" s="1616" t="s">
        <v>1694</v>
      </c>
      <c r="C117" s="1635">
        <v>0</v>
      </c>
      <c r="D117" s="1641"/>
      <c r="E117" s="1642">
        <v>0</v>
      </c>
      <c r="F117" s="1633"/>
      <c r="G117" s="1637"/>
      <c r="H117" s="1643"/>
      <c r="I117" s="1636"/>
      <c r="J117" s="1637"/>
      <c r="K117" s="1644"/>
      <c r="L117" s="1699"/>
      <c r="M117" s="1640">
        <v>0</v>
      </c>
      <c r="O117" s="1640">
        <v>0</v>
      </c>
      <c r="P117" s="1637"/>
      <c r="Q117" s="1646">
        <v>0</v>
      </c>
      <c r="U117" s="1780">
        <v>2278451</v>
      </c>
      <c r="V117" s="1618"/>
      <c r="W117" s="1618"/>
      <c r="X117" s="1618"/>
      <c r="Y117" s="1618"/>
      <c r="Z117" s="1618"/>
      <c r="AA117" s="1618"/>
      <c r="AB117" s="1618"/>
      <c r="AC117" s="1781"/>
    </row>
    <row r="118" spans="1:29">
      <c r="A118" s="1629" t="s">
        <v>1561</v>
      </c>
      <c r="B118" s="1681" t="s">
        <v>1695</v>
      </c>
      <c r="C118" s="1635">
        <v>2045</v>
      </c>
      <c r="D118" s="1641"/>
      <c r="E118" s="1642">
        <v>2045</v>
      </c>
      <c r="F118" s="1633">
        <v>2206</v>
      </c>
      <c r="G118" s="1642"/>
      <c r="H118" s="1635"/>
      <c r="I118" s="1636"/>
      <c r="J118" s="1637"/>
      <c r="K118" s="1644"/>
      <c r="L118" s="1699"/>
      <c r="M118" s="1775">
        <v>2140</v>
      </c>
      <c r="N118" s="1648">
        <v>1</v>
      </c>
      <c r="O118" s="1682">
        <v>2140</v>
      </c>
      <c r="P118" s="1637"/>
      <c r="Q118" s="1646">
        <v>2140</v>
      </c>
      <c r="U118" s="1780">
        <v>0</v>
      </c>
      <c r="V118" s="1618"/>
      <c r="W118" s="1618"/>
      <c r="X118" s="1618"/>
      <c r="Y118" s="1618"/>
      <c r="Z118" s="1618"/>
      <c r="AA118" s="1618"/>
      <c r="AB118" s="1618"/>
      <c r="AC118" s="1781"/>
    </row>
    <row r="119" spans="1:29">
      <c r="A119" s="1629" t="s">
        <v>1562</v>
      </c>
      <c r="B119" s="1616" t="s">
        <v>1696</v>
      </c>
      <c r="C119" s="1635">
        <v>294816</v>
      </c>
      <c r="D119" s="1641"/>
      <c r="E119" s="1642">
        <v>294816</v>
      </c>
      <c r="F119" s="1633">
        <v>318078</v>
      </c>
      <c r="G119" s="1634"/>
      <c r="H119" s="1635"/>
      <c r="I119" s="1636"/>
      <c r="J119" s="1637"/>
      <c r="K119" s="1649"/>
      <c r="L119" s="1699"/>
      <c r="M119" s="1772">
        <v>607954.74</v>
      </c>
      <c r="O119" s="1640">
        <v>0</v>
      </c>
      <c r="P119" s="1637"/>
      <c r="Q119" s="1646">
        <v>0</v>
      </c>
      <c r="U119" s="1780">
        <v>2140</v>
      </c>
      <c r="V119" s="1618"/>
      <c r="W119" s="1618"/>
      <c r="X119" s="1618"/>
      <c r="Y119" s="1618"/>
      <c r="Z119" s="1618"/>
      <c r="AA119" s="1618"/>
      <c r="AB119" s="1618"/>
      <c r="AC119" s="1781"/>
    </row>
    <row r="120" spans="1:29">
      <c r="A120" s="1629" t="s">
        <v>1563</v>
      </c>
      <c r="B120" s="1616" t="s">
        <v>1557</v>
      </c>
      <c r="C120" s="1635">
        <v>17303</v>
      </c>
      <c r="D120" s="1641"/>
      <c r="E120" s="1642">
        <v>17303</v>
      </c>
      <c r="F120" s="1633">
        <v>18668</v>
      </c>
      <c r="G120" s="1637"/>
      <c r="H120" s="1643"/>
      <c r="I120" s="1636"/>
      <c r="J120" s="1637"/>
      <c r="K120" s="1644"/>
      <c r="L120" s="1699"/>
      <c r="M120" s="1640">
        <v>0</v>
      </c>
      <c r="O120" s="1640">
        <v>0</v>
      </c>
      <c r="P120" s="1637"/>
      <c r="Q120" s="1646">
        <v>0</v>
      </c>
      <c r="U120" s="1780">
        <v>607954.74</v>
      </c>
      <c r="V120" s="1618"/>
      <c r="W120" s="1618"/>
      <c r="X120" s="1618"/>
      <c r="Y120" s="1618"/>
      <c r="Z120" s="1618"/>
      <c r="AA120" s="1618"/>
      <c r="AB120" s="1618"/>
      <c r="AC120" s="1781"/>
    </row>
    <row r="121" spans="1:29" ht="16.5" thickBot="1">
      <c r="A121" s="1629" t="s">
        <v>1564</v>
      </c>
      <c r="B121" s="1681" t="s">
        <v>1697</v>
      </c>
      <c r="C121" s="1662">
        <v>6609366</v>
      </c>
      <c r="D121" s="1663"/>
      <c r="E121" s="1664">
        <v>6609366</v>
      </c>
      <c r="F121" s="1665">
        <v>7130845</v>
      </c>
      <c r="G121" s="1693"/>
      <c r="H121" s="1662"/>
      <c r="I121" s="1666"/>
      <c r="J121" s="1637"/>
      <c r="K121" s="1649"/>
      <c r="L121" s="1700"/>
      <c r="M121" s="1772">
        <v>6850286.4199999999</v>
      </c>
      <c r="N121" s="1648">
        <v>1</v>
      </c>
      <c r="O121" s="1682">
        <v>6850286.4199999999</v>
      </c>
      <c r="P121" s="1667"/>
      <c r="Q121" s="1646">
        <v>6850286.4199999999</v>
      </c>
      <c r="R121" s="1680"/>
      <c r="U121" s="1780">
        <v>0</v>
      </c>
      <c r="V121" s="1618"/>
      <c r="W121" s="1618"/>
      <c r="X121" s="1618"/>
      <c r="Y121" s="1618"/>
      <c r="Z121" s="1618"/>
      <c r="AA121" s="1618"/>
      <c r="AB121" s="1618"/>
      <c r="AC121" s="1781"/>
    </row>
    <row r="122" spans="1:29" ht="16.5" thickBot="1">
      <c r="C122" s="1668">
        <v>134212875.52</v>
      </c>
      <c r="D122" s="1669">
        <v>1923794</v>
      </c>
      <c r="E122" s="1670">
        <v>136136669.51999998</v>
      </c>
      <c r="F122" s="1668">
        <v>143802271</v>
      </c>
      <c r="G122" s="1669">
        <v>0</v>
      </c>
      <c r="H122" s="1669">
        <v>0</v>
      </c>
      <c r="I122" s="1669">
        <v>0</v>
      </c>
      <c r="J122" s="1671">
        <v>0</v>
      </c>
      <c r="K122" s="1672">
        <v>0</v>
      </c>
      <c r="L122" s="1672">
        <v>0</v>
      </c>
      <c r="M122" s="1672">
        <v>146316399.93000001</v>
      </c>
      <c r="N122" s="1622"/>
      <c r="O122" s="1673">
        <v>156607486.40098101</v>
      </c>
      <c r="P122" s="1674">
        <v>0</v>
      </c>
      <c r="Q122" s="1675">
        <v>156607486.40098101</v>
      </c>
      <c r="T122" s="1680"/>
      <c r="U122" s="1782">
        <v>6850286.4199999999</v>
      </c>
      <c r="V122" s="1618"/>
      <c r="W122" s="1618"/>
      <c r="X122" s="1618"/>
      <c r="Y122" s="1618"/>
      <c r="Z122" s="1618"/>
      <c r="AA122" s="1618"/>
      <c r="AB122" s="1618"/>
      <c r="AC122" s="1781"/>
    </row>
    <row r="123" spans="1:29">
      <c r="C123" s="1676"/>
      <c r="D123" s="1676"/>
      <c r="E123" s="1676"/>
      <c r="F123" s="1676"/>
      <c r="G123" s="1676"/>
      <c r="H123" s="1676">
        <v>0</v>
      </c>
      <c r="I123" s="1676"/>
      <c r="L123" s="1677"/>
      <c r="M123" s="1757" t="s">
        <v>1566</v>
      </c>
      <c r="P123" s="1676"/>
      <c r="Q123" s="1757" t="s">
        <v>1566</v>
      </c>
      <c r="U123" s="1780">
        <v>10304404.390000001</v>
      </c>
      <c r="V123" s="1783" t="s">
        <v>1753</v>
      </c>
      <c r="W123" s="1618"/>
      <c r="X123" s="1618"/>
      <c r="Y123" s="1618"/>
      <c r="Z123" s="1618"/>
      <c r="AA123" s="1618"/>
      <c r="AB123" s="1618"/>
      <c r="AC123" s="1781"/>
    </row>
    <row r="124" spans="1:29">
      <c r="B124" s="1681" t="s">
        <v>1698</v>
      </c>
      <c r="C124" s="1684"/>
      <c r="D124" s="1676"/>
      <c r="E124" s="1676"/>
      <c r="F124" s="1678" t="s">
        <v>1699</v>
      </c>
      <c r="G124" s="1679">
        <v>-1</v>
      </c>
      <c r="H124" s="1676"/>
      <c r="I124" s="1676"/>
      <c r="P124" s="1676"/>
      <c r="R124" s="1727"/>
      <c r="U124" s="1784" t="s">
        <v>1751</v>
      </c>
      <c r="V124" s="1618"/>
      <c r="W124" s="1618"/>
      <c r="X124" s="1783" t="s">
        <v>1754</v>
      </c>
      <c r="Y124" s="1618"/>
      <c r="Z124" s="1618"/>
      <c r="AA124" s="1618"/>
      <c r="AB124" s="1618"/>
      <c r="AC124" s="1781"/>
    </row>
    <row r="125" spans="1:29">
      <c r="M125" s="1681" t="s">
        <v>1700</v>
      </c>
      <c r="N125" s="1681"/>
      <c r="O125" s="1681"/>
      <c r="P125" s="1681"/>
      <c r="Q125" s="1681"/>
      <c r="U125" s="1784" t="s">
        <v>1752</v>
      </c>
      <c r="V125" s="1618"/>
      <c r="W125" s="1618"/>
      <c r="X125" s="1618"/>
      <c r="Y125" s="1618"/>
      <c r="Z125" s="1618"/>
      <c r="AA125" s="1618"/>
      <c r="AB125" s="1618"/>
      <c r="AC125" s="1781"/>
    </row>
    <row r="126" spans="1:29" ht="16.5" thickBot="1">
      <c r="F126" s="1679">
        <v>7.1449147057213835E-2</v>
      </c>
      <c r="J126" s="1679">
        <v>-1</v>
      </c>
      <c r="S126" s="1680"/>
      <c r="U126" s="1785" t="s">
        <v>1755</v>
      </c>
      <c r="V126" s="1786"/>
      <c r="W126" s="1786"/>
      <c r="X126" s="1786"/>
      <c r="Y126" s="1786"/>
      <c r="Z126" s="1786"/>
      <c r="AA126" s="1786"/>
      <c r="AB126" s="1787"/>
      <c r="AC126" s="1788"/>
    </row>
    <row r="127" spans="1:29">
      <c r="G127" s="1616" t="s">
        <v>1701</v>
      </c>
      <c r="S127" s="1746"/>
    </row>
    <row r="128" spans="1:29">
      <c r="Q128" s="1680">
        <v>157076632</v>
      </c>
      <c r="S128" s="1746"/>
    </row>
    <row r="130" spans="17:17">
      <c r="Q130" s="1680">
        <v>469145.59901899099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pageSetUpPr fitToPage="1"/>
  </sheetPr>
  <dimension ref="A1:K227"/>
  <sheetViews>
    <sheetView workbookViewId="0">
      <selection sqref="A1:XFD1048576"/>
    </sheetView>
  </sheetViews>
  <sheetFormatPr defaultColWidth="8.7109375" defaultRowHeight="12.75"/>
  <cols>
    <col min="1" max="1" width="23.28515625" customWidth="1"/>
    <col min="2" max="2" width="20.42578125" bestFit="1" customWidth="1"/>
    <col min="3" max="3" width="16.7109375" customWidth="1"/>
    <col min="4" max="4" width="15" bestFit="1" customWidth="1"/>
    <col min="6" max="6" width="13" customWidth="1"/>
    <col min="7" max="7" width="11.42578125" bestFit="1" customWidth="1"/>
    <col min="10" max="10" width="13.85546875" bestFit="1" customWidth="1"/>
    <col min="14" max="14" width="10.140625" bestFit="1" customWidth="1"/>
  </cols>
  <sheetData>
    <row r="1" spans="1:6">
      <c r="A1" s="1" t="s">
        <v>1106</v>
      </c>
    </row>
    <row r="3" spans="1:6">
      <c r="A3" s="71" t="s">
        <v>928</v>
      </c>
      <c r="B3" s="180">
        <v>5047303.7584710633</v>
      </c>
      <c r="C3" t="s">
        <v>1107</v>
      </c>
    </row>
    <row r="4" spans="1:6">
      <c r="A4" s="71" t="s">
        <v>1108</v>
      </c>
      <c r="B4" s="180">
        <v>670000</v>
      </c>
    </row>
    <row r="5" spans="1:6">
      <c r="A5" s="71" t="s">
        <v>247</v>
      </c>
      <c r="B5" s="253">
        <v>1063467.3186979231</v>
      </c>
    </row>
    <row r="6" spans="1:6">
      <c r="A6" s="71" t="s">
        <v>951</v>
      </c>
      <c r="B6" s="253">
        <v>29574.322608800412</v>
      </c>
      <c r="C6" s="196">
        <v>0.11847000000000001</v>
      </c>
    </row>
    <row r="7" spans="1:6">
      <c r="A7" s="71" t="s">
        <v>1092</v>
      </c>
      <c r="B7" s="253">
        <v>688584.33380000002</v>
      </c>
      <c r="C7" s="196">
        <v>0.10730000000000001</v>
      </c>
      <c r="D7" s="196">
        <v>1.8500000000000003E-2</v>
      </c>
      <c r="F7" s="196"/>
    </row>
    <row r="8" spans="1:6">
      <c r="A8" s="652" t="s">
        <v>1169</v>
      </c>
      <c r="B8" s="998">
        <v>504811.7005019011</v>
      </c>
      <c r="C8" s="196"/>
    </row>
    <row r="9" spans="1:6">
      <c r="B9" s="180">
        <v>8003741.434079688</v>
      </c>
      <c r="C9" s="158" t="e">
        <v>#NAME?</v>
      </c>
      <c r="D9" s="399" t="e">
        <v>#NAME?</v>
      </c>
      <c r="E9" t="s">
        <v>675</v>
      </c>
    </row>
    <row r="10" spans="1:6">
      <c r="A10" t="s">
        <v>1175</v>
      </c>
      <c r="B10" s="180"/>
      <c r="C10" s="158"/>
      <c r="D10" s="399"/>
    </row>
    <row r="11" spans="1:6">
      <c r="A11" t="s">
        <v>1176</v>
      </c>
      <c r="B11" s="180">
        <v>1098029.7832096298</v>
      </c>
      <c r="C11" s="158"/>
      <c r="D11" s="399"/>
    </row>
    <row r="12" spans="1:6">
      <c r="A12" t="s">
        <v>1177</v>
      </c>
      <c r="B12" s="253">
        <v>4188273.5841009966</v>
      </c>
      <c r="C12" s="158"/>
      <c r="D12" s="399"/>
    </row>
    <row r="13" spans="1:6">
      <c r="A13" t="s">
        <v>1178</v>
      </c>
      <c r="B13" s="253">
        <v>370000</v>
      </c>
      <c r="C13" s="158"/>
      <c r="D13" s="399"/>
    </row>
    <row r="14" spans="1:6">
      <c r="A14" t="s">
        <v>1179</v>
      </c>
      <c r="B14" s="244">
        <v>370800</v>
      </c>
      <c r="C14" s="158"/>
      <c r="D14" s="399"/>
    </row>
    <row r="15" spans="1:6">
      <c r="B15" s="180">
        <v>6027103.3673106264</v>
      </c>
      <c r="C15" s="158"/>
      <c r="D15" s="399"/>
    </row>
    <row r="16" spans="1:6">
      <c r="B16" s="245"/>
    </row>
    <row r="17" spans="1:4">
      <c r="A17" s="1" t="s">
        <v>397</v>
      </c>
    </row>
    <row r="18" spans="1:4">
      <c r="A18" s="274" t="s">
        <v>926</v>
      </c>
      <c r="B18" s="273">
        <v>2252000</v>
      </c>
    </row>
    <row r="19" spans="1:4">
      <c r="A19" s="71" t="s">
        <v>1168</v>
      </c>
      <c r="B19" s="275">
        <v>-1900000</v>
      </c>
    </row>
    <row r="20" spans="1:4">
      <c r="A20" s="71" t="s">
        <v>263</v>
      </c>
      <c r="B20" s="277">
        <v>352000</v>
      </c>
    </row>
    <row r="21" spans="1:4">
      <c r="B21" s="180"/>
    </row>
    <row r="22" spans="1:4">
      <c r="A22" s="1" t="s">
        <v>1000</v>
      </c>
    </row>
    <row r="24" spans="1:4" ht="13.35" customHeight="1">
      <c r="A24" s="71" t="s">
        <v>822</v>
      </c>
      <c r="B24" s="245" t="e">
        <v>#NAME?</v>
      </c>
      <c r="C24" s="71" t="s">
        <v>1100</v>
      </c>
    </row>
    <row r="25" spans="1:4" ht="13.35" customHeight="1">
      <c r="A25" s="71" t="s">
        <v>1099</v>
      </c>
      <c r="B25" s="245">
        <v>300000</v>
      </c>
      <c r="C25" s="71" t="s">
        <v>1101</v>
      </c>
    </row>
    <row r="26" spans="1:4">
      <c r="A26" s="71" t="s">
        <v>247</v>
      </c>
      <c r="B26" s="253">
        <v>1170598.6161700001</v>
      </c>
      <c r="C26" s="71" t="s">
        <v>1102</v>
      </c>
    </row>
    <row r="27" spans="1:4">
      <c r="A27" s="71" t="s">
        <v>951</v>
      </c>
      <c r="B27" s="253">
        <v>128025.68603020003</v>
      </c>
      <c r="C27" s="71" t="s">
        <v>1103</v>
      </c>
      <c r="D27" s="196">
        <v>0.11771</v>
      </c>
    </row>
    <row r="28" spans="1:4">
      <c r="A28" s="71" t="s">
        <v>1092</v>
      </c>
      <c r="B28" s="244">
        <v>234490.88123999999</v>
      </c>
      <c r="C28" s="71" t="s">
        <v>1103</v>
      </c>
      <c r="D28" s="196">
        <v>8.8800000000000004E-2</v>
      </c>
    </row>
    <row r="29" spans="1:4">
      <c r="B29" s="245" t="e">
        <v>#NAME?</v>
      </c>
    </row>
    <row r="30" spans="1:4">
      <c r="B30" s="245"/>
    </row>
    <row r="31" spans="1:4">
      <c r="A31" s="1" t="s">
        <v>397</v>
      </c>
    </row>
    <row r="32" spans="1:4">
      <c r="A32" s="274" t="s">
        <v>817</v>
      </c>
      <c r="B32" s="273">
        <v>1900000</v>
      </c>
    </row>
    <row r="33" spans="1:2">
      <c r="A33" s="71" t="s">
        <v>1001</v>
      </c>
      <c r="B33" s="275">
        <v>-1882000</v>
      </c>
    </row>
    <row r="34" spans="1:2">
      <c r="A34" s="71" t="s">
        <v>263</v>
      </c>
      <c r="B34" s="277">
        <v>18000</v>
      </c>
    </row>
    <row r="35" spans="1:2">
      <c r="B35" s="245"/>
    </row>
    <row r="36" spans="1:2">
      <c r="A36" s="1" t="s">
        <v>955</v>
      </c>
    </row>
    <row r="38" spans="1:2" ht="13.35" customHeight="1">
      <c r="A38" s="71" t="s">
        <v>27</v>
      </c>
      <c r="B38" s="245" t="e">
        <v>#NAME?</v>
      </c>
    </row>
    <row r="39" spans="1:2">
      <c r="A39" s="71" t="s">
        <v>247</v>
      </c>
      <c r="B39" s="253" t="e">
        <v>#NAME?</v>
      </c>
    </row>
    <row r="40" spans="1:2">
      <c r="A40" s="71" t="s">
        <v>951</v>
      </c>
      <c r="B40" s="244">
        <v>429507.21310000005</v>
      </c>
    </row>
    <row r="41" spans="1:2">
      <c r="B41" s="245" t="e">
        <v>#NAME?</v>
      </c>
    </row>
    <row r="42" spans="1:2">
      <c r="B42" s="245"/>
    </row>
    <row r="43" spans="1:2">
      <c r="A43" s="1" t="s">
        <v>397</v>
      </c>
    </row>
    <row r="44" spans="1:2">
      <c r="A44" s="274" t="s">
        <v>16</v>
      </c>
      <c r="B44" s="273">
        <v>1882000</v>
      </c>
    </row>
    <row r="45" spans="1:2">
      <c r="A45" s="71" t="s">
        <v>956</v>
      </c>
      <c r="B45" s="275">
        <v>-1708000</v>
      </c>
    </row>
    <row r="46" spans="1:2">
      <c r="A46" s="71" t="s">
        <v>263</v>
      </c>
      <c r="B46" s="277">
        <v>174000</v>
      </c>
    </row>
    <row r="47" spans="1:2">
      <c r="B47" s="245"/>
    </row>
    <row r="48" spans="1:2" s="279" customFormat="1">
      <c r="B48" s="280"/>
    </row>
    <row r="49" spans="1:3">
      <c r="A49" s="71" t="s">
        <v>878</v>
      </c>
    </row>
    <row r="51" spans="1:3">
      <c r="A51" s="71" t="s">
        <v>250</v>
      </c>
      <c r="B51" s="180" t="e">
        <v>#NAME?</v>
      </c>
    </row>
    <row r="52" spans="1:3">
      <c r="A52" s="71" t="s">
        <v>247</v>
      </c>
      <c r="B52" s="244">
        <v>736961.82000000007</v>
      </c>
    </row>
    <row r="53" spans="1:3">
      <c r="B53" s="245" t="e">
        <v>#NAME?</v>
      </c>
    </row>
    <row r="55" spans="1:3">
      <c r="A55" s="1" t="s">
        <v>397</v>
      </c>
    </row>
    <row r="56" spans="1:3">
      <c r="A56" s="274" t="s">
        <v>233</v>
      </c>
      <c r="B56" s="273">
        <v>1708000</v>
      </c>
    </row>
    <row r="57" spans="1:3">
      <c r="A57" s="71" t="s">
        <v>879</v>
      </c>
      <c r="B57" s="275">
        <v>-2000000</v>
      </c>
    </row>
    <row r="58" spans="1:3">
      <c r="A58" s="71" t="s">
        <v>263</v>
      </c>
      <c r="B58" s="277">
        <v>-292000</v>
      </c>
    </row>
    <row r="59" spans="1:3" s="279" customFormat="1"/>
    <row r="60" spans="1:3">
      <c r="A60" s="1" t="s">
        <v>725</v>
      </c>
    </row>
    <row r="61" spans="1:3">
      <c r="A61" s="1"/>
    </row>
    <row r="62" spans="1:3">
      <c r="A62" s="71" t="s">
        <v>249</v>
      </c>
      <c r="B62" s="180">
        <v>0</v>
      </c>
    </row>
    <row r="63" spans="1:3">
      <c r="A63" s="71" t="s">
        <v>247</v>
      </c>
      <c r="B63" s="244">
        <v>851785.64608442388</v>
      </c>
    </row>
    <row r="64" spans="1:3">
      <c r="B64" s="245">
        <v>851785.64608442388</v>
      </c>
      <c r="C64" s="71" t="s">
        <v>540</v>
      </c>
    </row>
    <row r="66" spans="1:6">
      <c r="A66" s="1" t="s">
        <v>397</v>
      </c>
    </row>
    <row r="67" spans="1:6">
      <c r="A67" s="274" t="s">
        <v>281</v>
      </c>
      <c r="B67" s="273">
        <v>2000000</v>
      </c>
    </row>
    <row r="68" spans="1:6">
      <c r="A68" s="71" t="s">
        <v>726</v>
      </c>
      <c r="B68" s="275">
        <v>-2516000</v>
      </c>
    </row>
    <row r="69" spans="1:6">
      <c r="A69" s="71" t="s">
        <v>263</v>
      </c>
      <c r="B69" s="277">
        <v>-516000</v>
      </c>
    </row>
    <row r="70" spans="1:6" s="279" customFormat="1">
      <c r="A70" s="604"/>
      <c r="B70" s="605"/>
    </row>
    <row r="71" spans="1:6">
      <c r="A71" s="1" t="s">
        <v>727</v>
      </c>
    </row>
    <row r="72" spans="1:6">
      <c r="A72" s="71"/>
      <c r="B72" s="277"/>
    </row>
    <row r="73" spans="1:6">
      <c r="A73" s="71" t="s">
        <v>248</v>
      </c>
      <c r="B73" s="245">
        <v>0</v>
      </c>
    </row>
    <row r="74" spans="1:6">
      <c r="A74" s="71" t="s">
        <v>247</v>
      </c>
      <c r="B74" s="280">
        <v>821557.08297156694</v>
      </c>
    </row>
    <row r="75" spans="1:6">
      <c r="B75" s="245">
        <v>821557.08297156694</v>
      </c>
    </row>
    <row r="76" spans="1:6" s="279" customFormat="1"/>
    <row r="77" spans="1:6">
      <c r="A77" s="1" t="s">
        <v>162</v>
      </c>
    </row>
    <row r="78" spans="1:6" ht="17.25">
      <c r="D78" s="417" t="s">
        <v>168</v>
      </c>
    </row>
    <row r="79" spans="1:6" ht="15.75" thickBot="1">
      <c r="A79" s="1" t="s">
        <v>650</v>
      </c>
      <c r="B79" s="276">
        <v>928688</v>
      </c>
      <c r="D79" s="417"/>
    </row>
    <row r="80" spans="1:6" ht="15.75" thickBot="1">
      <c r="D80" s="418" t="s">
        <v>169</v>
      </c>
      <c r="E80" s="419" t="s">
        <v>170</v>
      </c>
      <c r="F80" s="419" t="s">
        <v>171</v>
      </c>
    </row>
    <row r="81" spans="1:6" ht="15.75" thickBot="1">
      <c r="A81" s="1" t="s">
        <v>525</v>
      </c>
      <c r="D81" s="420" t="s">
        <v>172</v>
      </c>
      <c r="E81" s="421" t="s">
        <v>173</v>
      </c>
      <c r="F81" s="422">
        <v>17371710.879999999</v>
      </c>
    </row>
    <row r="82" spans="1:6" ht="15.75" thickBot="1">
      <c r="A82" s="71" t="s">
        <v>260</v>
      </c>
      <c r="B82" s="180">
        <v>0</v>
      </c>
      <c r="D82" s="420" t="s">
        <v>174</v>
      </c>
      <c r="E82" s="421" t="s">
        <v>173</v>
      </c>
      <c r="F82" s="422">
        <v>17316606.300000001</v>
      </c>
    </row>
    <row r="83" spans="1:6" ht="15.75" thickBot="1">
      <c r="A83" s="71" t="s">
        <v>302</v>
      </c>
      <c r="B83" s="180">
        <v>627859.94883778121</v>
      </c>
      <c r="D83" s="420" t="s">
        <v>175</v>
      </c>
      <c r="E83" s="421" t="s">
        <v>173</v>
      </c>
      <c r="F83" s="422">
        <v>55104.58</v>
      </c>
    </row>
    <row r="84" spans="1:6" ht="15.75" thickBot="1">
      <c r="A84" s="71" t="s">
        <v>341</v>
      </c>
      <c r="B84" s="180">
        <v>0</v>
      </c>
      <c r="D84" s="420">
        <v>1</v>
      </c>
      <c r="E84" s="421" t="s">
        <v>176</v>
      </c>
      <c r="F84" s="422">
        <v>1998217.63</v>
      </c>
    </row>
    <row r="85" spans="1:6" ht="15.75" thickBot="1">
      <c r="A85" s="71" t="s">
        <v>261</v>
      </c>
      <c r="B85" s="244">
        <v>0</v>
      </c>
      <c r="D85" s="420">
        <v>2</v>
      </c>
      <c r="E85" s="421" t="s">
        <v>173</v>
      </c>
      <c r="F85" s="422">
        <v>12346.43</v>
      </c>
    </row>
    <row r="86" spans="1:6" ht="15.75" thickBot="1">
      <c r="A86" s="71"/>
      <c r="B86" s="276">
        <v>627859.94883778121</v>
      </c>
      <c r="D86" s="420">
        <v>3</v>
      </c>
      <c r="E86" s="421" t="s">
        <v>173</v>
      </c>
      <c r="F86" s="422">
        <v>3506114.58</v>
      </c>
    </row>
    <row r="87" spans="1:6" ht="15.75" thickBot="1">
      <c r="D87" s="420">
        <v>4</v>
      </c>
      <c r="E87" s="421" t="s">
        <v>173</v>
      </c>
      <c r="F87" s="422">
        <v>1076545.8</v>
      </c>
    </row>
    <row r="88" spans="1:6" ht="15.75" thickBot="1">
      <c r="A88" s="1" t="s">
        <v>397</v>
      </c>
      <c r="D88" s="420">
        <v>5</v>
      </c>
      <c r="E88" s="421" t="s">
        <v>173</v>
      </c>
      <c r="F88" s="422">
        <v>470545.98</v>
      </c>
    </row>
    <row r="89" spans="1:6" ht="15.75" thickBot="1">
      <c r="A89" s="274" t="s">
        <v>420</v>
      </c>
      <c r="B89" s="273">
        <v>2516000</v>
      </c>
      <c r="D89" s="420">
        <v>6</v>
      </c>
      <c r="E89" s="421" t="s">
        <v>173</v>
      </c>
      <c r="F89" s="422">
        <v>339600.24</v>
      </c>
    </row>
    <row r="90" spans="1:6" ht="15">
      <c r="A90" s="71" t="s">
        <v>163</v>
      </c>
      <c r="B90" s="275">
        <v>-2262000</v>
      </c>
      <c r="D90" t="s">
        <v>177</v>
      </c>
      <c r="F90" s="423">
        <v>420310</v>
      </c>
    </row>
    <row r="91" spans="1:6" ht="15">
      <c r="A91" s="71" t="s">
        <v>263</v>
      </c>
      <c r="B91" s="277">
        <v>254000</v>
      </c>
      <c r="D91" t="s">
        <v>178</v>
      </c>
      <c r="F91" s="423">
        <v>134000</v>
      </c>
    </row>
    <row r="93" spans="1:6">
      <c r="A93" s="1"/>
      <c r="B93" s="276"/>
      <c r="C93" s="245"/>
      <c r="D93" s="245"/>
    </row>
    <row r="94" spans="1:6">
      <c r="A94" s="1" t="s">
        <v>271</v>
      </c>
      <c r="B94" s="276">
        <v>-60000</v>
      </c>
      <c r="C94" s="293" t="s">
        <v>164</v>
      </c>
      <c r="D94" s="245"/>
    </row>
    <row r="95" spans="1:6">
      <c r="A95" s="1"/>
      <c r="B95" s="276"/>
      <c r="C95" s="293"/>
      <c r="D95" s="245"/>
    </row>
    <row r="96" spans="1:6">
      <c r="A96" s="1" t="s">
        <v>625</v>
      </c>
      <c r="B96" s="276">
        <v>1750547.9488377813</v>
      </c>
      <c r="C96" s="293"/>
      <c r="D96" s="245"/>
    </row>
    <row r="97" spans="1:4" s="82" customFormat="1" ht="13.5" thickBot="1">
      <c r="A97" s="412"/>
      <c r="B97" s="413"/>
      <c r="C97" s="414"/>
      <c r="D97" s="414"/>
    </row>
    <row r="98" spans="1:4">
      <c r="A98" s="1" t="s">
        <v>259</v>
      </c>
    </row>
    <row r="100" spans="1:4">
      <c r="A100" s="1" t="s">
        <v>650</v>
      </c>
      <c r="B100" s="276">
        <v>892321</v>
      </c>
    </row>
    <row r="102" spans="1:4">
      <c r="A102" s="1" t="s">
        <v>525</v>
      </c>
    </row>
    <row r="103" spans="1:4">
      <c r="A103" s="71" t="s">
        <v>260</v>
      </c>
      <c r="B103" s="180">
        <v>0</v>
      </c>
    </row>
    <row r="104" spans="1:4">
      <c r="A104" s="71" t="s">
        <v>302</v>
      </c>
      <c r="B104" s="180">
        <v>0</v>
      </c>
    </row>
    <row r="105" spans="1:4">
      <c r="A105" s="71" t="s">
        <v>341</v>
      </c>
      <c r="B105" s="180">
        <v>107270.66191474801</v>
      </c>
    </row>
    <row r="106" spans="1:4">
      <c r="A106" s="71" t="s">
        <v>261</v>
      </c>
      <c r="B106" s="244">
        <v>0</v>
      </c>
    </row>
    <row r="107" spans="1:4">
      <c r="A107" s="71"/>
      <c r="B107" s="276">
        <v>107270.66191474801</v>
      </c>
    </row>
    <row r="109" spans="1:4">
      <c r="A109" s="1" t="s">
        <v>397</v>
      </c>
    </row>
    <row r="110" spans="1:4">
      <c r="A110" s="274" t="s">
        <v>409</v>
      </c>
      <c r="B110" s="273">
        <v>2262000</v>
      </c>
    </row>
    <row r="111" spans="1:4">
      <c r="A111" s="71" t="s">
        <v>262</v>
      </c>
      <c r="B111" s="275">
        <v>-2073532.4784207542</v>
      </c>
    </row>
    <row r="112" spans="1:4">
      <c r="A112" s="71" t="s">
        <v>263</v>
      </c>
      <c r="B112" s="277">
        <v>188467.5215792458</v>
      </c>
    </row>
    <row r="114" spans="1:6">
      <c r="A114" s="1" t="s">
        <v>269</v>
      </c>
      <c r="B114" s="281">
        <v>385175.41000000003</v>
      </c>
      <c r="C114" s="71" t="s">
        <v>222</v>
      </c>
    </row>
    <row r="116" spans="1:6">
      <c r="A116" s="71"/>
      <c r="B116" s="278"/>
    </row>
    <row r="117" spans="1:6">
      <c r="B117" s="71" t="s">
        <v>265</v>
      </c>
      <c r="C117" s="71" t="s">
        <v>266</v>
      </c>
      <c r="D117" s="71" t="s">
        <v>625</v>
      </c>
    </row>
    <row r="118" spans="1:6">
      <c r="A118" s="71" t="s">
        <v>267</v>
      </c>
      <c r="B118" s="245">
        <v>3072675.3841577889</v>
      </c>
      <c r="C118" s="245">
        <v>2073532.4784207542</v>
      </c>
      <c r="D118" s="245">
        <v>5146207.8625785429</v>
      </c>
    </row>
    <row r="119" spans="1:6">
      <c r="A119" s="71" t="s">
        <v>264</v>
      </c>
      <c r="B119" s="244">
        <v>3295729.7399999998</v>
      </c>
      <c r="C119" s="244">
        <v>2197245</v>
      </c>
      <c r="D119" s="280">
        <v>5492974.7400000002</v>
      </c>
    </row>
    <row r="120" spans="1:6">
      <c r="A120" s="1" t="s">
        <v>270</v>
      </c>
      <c r="B120" s="276">
        <v>223054.35584221082</v>
      </c>
      <c r="C120" s="245">
        <v>123712.5215792458</v>
      </c>
      <c r="D120" s="245">
        <v>346766.87742145732</v>
      </c>
    </row>
    <row r="121" spans="1:6">
      <c r="A121" s="1"/>
      <c r="B121" s="276"/>
      <c r="C121" s="245"/>
      <c r="D121" s="245"/>
    </row>
    <row r="122" spans="1:6">
      <c r="A122" s="1" t="s">
        <v>271</v>
      </c>
      <c r="B122" s="276">
        <v>140000</v>
      </c>
      <c r="C122" s="245" t="s">
        <v>272</v>
      </c>
      <c r="D122" s="245"/>
    </row>
    <row r="123" spans="1:6" ht="13.5" thickBot="1">
      <c r="A123" s="71"/>
      <c r="B123" s="180"/>
      <c r="C123" s="245"/>
      <c r="D123" s="245"/>
    </row>
    <row r="124" spans="1:6" ht="13.5" thickBot="1">
      <c r="A124" s="282" t="s">
        <v>268</v>
      </c>
      <c r="B124" s="283">
        <v>1936288.9493362047</v>
      </c>
      <c r="C124" s="71"/>
      <c r="D124" s="245"/>
    </row>
    <row r="125" spans="1:6">
      <c r="A125" s="71"/>
      <c r="B125" s="180"/>
      <c r="C125" s="245"/>
      <c r="D125" s="245"/>
    </row>
    <row r="127" spans="1:6">
      <c r="A127" s="279"/>
      <c r="B127" s="279"/>
      <c r="C127" s="279"/>
      <c r="D127" s="279"/>
      <c r="E127" s="279"/>
      <c r="F127" s="279"/>
    </row>
    <row r="128" spans="1:6">
      <c r="A128" s="1" t="s">
        <v>395</v>
      </c>
    </row>
    <row r="129" spans="1:5">
      <c r="A129" s="234" t="s">
        <v>376</v>
      </c>
      <c r="B129" t="s">
        <v>377</v>
      </c>
      <c r="C129" t="s">
        <v>378</v>
      </c>
      <c r="D129" t="s">
        <v>625</v>
      </c>
    </row>
    <row r="130" spans="1:5">
      <c r="A130" s="234" t="s">
        <v>371</v>
      </c>
      <c r="B130" s="235">
        <v>5702003</v>
      </c>
      <c r="C130" s="235">
        <v>171060</v>
      </c>
      <c r="D130" s="235">
        <v>3958028</v>
      </c>
    </row>
    <row r="131" spans="1:5">
      <c r="A131" s="234" t="s">
        <v>372</v>
      </c>
      <c r="B131" s="235">
        <v>3842745</v>
      </c>
      <c r="C131" s="235">
        <v>115283</v>
      </c>
      <c r="D131" s="235">
        <v>14849999</v>
      </c>
    </row>
    <row r="132" spans="1:5">
      <c r="A132" s="234" t="s">
        <v>373</v>
      </c>
      <c r="B132" s="235">
        <v>14417475</v>
      </c>
      <c r="C132" s="235">
        <v>432524</v>
      </c>
      <c r="D132" s="235">
        <v>8865454</v>
      </c>
    </row>
    <row r="133" spans="1:5">
      <c r="A133" s="234" t="s">
        <v>374</v>
      </c>
      <c r="B133" s="235">
        <v>8607237</v>
      </c>
      <c r="C133" s="235">
        <v>258217</v>
      </c>
      <c r="D133" s="235">
        <v>19905410</v>
      </c>
    </row>
    <row r="134" spans="1:5">
      <c r="A134" s="234" t="s">
        <v>375</v>
      </c>
      <c r="B134" s="236">
        <v>19325641</v>
      </c>
      <c r="C134" s="236">
        <v>579769</v>
      </c>
      <c r="D134" s="236">
        <v>53451954</v>
      </c>
    </row>
    <row r="135" spans="1:5">
      <c r="B135" s="235">
        <v>51895101</v>
      </c>
      <c r="C135" s="235">
        <v>1556853</v>
      </c>
      <c r="D135" s="235">
        <v>0</v>
      </c>
    </row>
    <row r="137" spans="1:5">
      <c r="A137" s="234" t="s">
        <v>392</v>
      </c>
    </row>
    <row r="138" spans="1:5">
      <c r="A138" s="2" t="s">
        <v>393</v>
      </c>
      <c r="B138" s="235">
        <v>22192</v>
      </c>
    </row>
    <row r="139" spans="1:5">
      <c r="A139" s="2" t="s">
        <v>394</v>
      </c>
      <c r="B139" s="235">
        <v>36623</v>
      </c>
    </row>
    <row r="140" spans="1:5">
      <c r="A140" s="2" t="s">
        <v>621</v>
      </c>
      <c r="B140" s="235">
        <v>79998</v>
      </c>
    </row>
    <row r="142" spans="1:5">
      <c r="A142" s="1" t="s">
        <v>396</v>
      </c>
    </row>
    <row r="143" spans="1:5">
      <c r="C143">
        <v>1390</v>
      </c>
      <c r="D143">
        <v>1310</v>
      </c>
    </row>
    <row r="144" spans="1:5">
      <c r="A144" t="s">
        <v>397</v>
      </c>
      <c r="B144" s="238" t="s">
        <v>532</v>
      </c>
      <c r="C144" s="158">
        <v>1535021</v>
      </c>
      <c r="D144" s="158">
        <v>9828180</v>
      </c>
      <c r="E144" s="239">
        <v>0.15618568239490932</v>
      </c>
    </row>
    <row r="145" spans="1:8">
      <c r="B145" s="240" t="s">
        <v>495</v>
      </c>
      <c r="C145" s="241">
        <v>1923532.4784207542</v>
      </c>
      <c r="D145" s="148">
        <v>10172749.529999999</v>
      </c>
      <c r="H145" s="2"/>
    </row>
    <row r="146" spans="1:8">
      <c r="B146" s="2" t="s">
        <v>304</v>
      </c>
      <c r="C146" s="241">
        <v>150000</v>
      </c>
      <c r="D146" s="148"/>
      <c r="H146" s="2"/>
    </row>
    <row r="147" spans="1:8">
      <c r="A147" t="s">
        <v>398</v>
      </c>
      <c r="C147" s="241">
        <v>138813</v>
      </c>
      <c r="H147" s="2"/>
    </row>
    <row r="148" spans="1:8">
      <c r="A148" t="s">
        <v>299</v>
      </c>
      <c r="C148" s="241">
        <v>117875.513484</v>
      </c>
      <c r="D148" s="242">
        <v>2395843.77</v>
      </c>
      <c r="H148" s="2"/>
    </row>
    <row r="150" spans="1:8">
      <c r="A150" s="1" t="s">
        <v>300</v>
      </c>
    </row>
    <row r="151" spans="1:8">
      <c r="A151" t="s">
        <v>301</v>
      </c>
      <c r="B151" s="196">
        <v>3.5299999999999998E-2</v>
      </c>
      <c r="C151" s="1542">
        <v>1712879.6365084974</v>
      </c>
    </row>
    <row r="152" spans="1:8">
      <c r="A152" t="s">
        <v>302</v>
      </c>
      <c r="B152" s="196">
        <v>3.5299999999999998E-2</v>
      </c>
      <c r="C152" s="1542">
        <v>924130.66584843199</v>
      </c>
    </row>
    <row r="153" spans="1:8">
      <c r="A153" t="s">
        <v>303</v>
      </c>
      <c r="B153" s="196">
        <v>3.5000000000000003E-2</v>
      </c>
      <c r="C153" s="1542">
        <v>876590.66320402292</v>
      </c>
    </row>
    <row r="154" spans="1:8">
      <c r="B154" s="196"/>
      <c r="C154" s="1542"/>
    </row>
    <row r="155" spans="1:8">
      <c r="A155" s="2" t="s">
        <v>305</v>
      </c>
      <c r="B155" s="196"/>
      <c r="C155" s="1542">
        <v>678471.71511283657</v>
      </c>
    </row>
    <row r="157" spans="1:8">
      <c r="A157" s="1" t="s">
        <v>625</v>
      </c>
      <c r="C157" s="1543">
        <v>6522293.6725785434</v>
      </c>
    </row>
    <row r="158" spans="1:8">
      <c r="A158" s="1"/>
      <c r="C158" s="1543"/>
    </row>
    <row r="159" spans="1:8">
      <c r="A159" s="1" t="s">
        <v>306</v>
      </c>
      <c r="C159" s="1543">
        <v>5146207.8625785429</v>
      </c>
    </row>
    <row r="161" spans="1:6">
      <c r="A161" s="2" t="s">
        <v>307</v>
      </c>
      <c r="C161" s="180">
        <v>3590408.66</v>
      </c>
    </row>
    <row r="162" spans="1:6">
      <c r="A162" s="2" t="s">
        <v>308</v>
      </c>
      <c r="C162" s="244">
        <v>2214322.8499999996</v>
      </c>
    </row>
    <row r="163" spans="1:6">
      <c r="C163" s="245">
        <v>1376085.8100000005</v>
      </c>
    </row>
    <row r="164" spans="1:6">
      <c r="A164" s="2" t="s">
        <v>309</v>
      </c>
      <c r="C164" s="245">
        <v>6522293.6725785434</v>
      </c>
    </row>
    <row r="165" spans="1:6">
      <c r="A165" s="2" t="s">
        <v>310</v>
      </c>
      <c r="C165" s="245">
        <v>5146207.8625785429</v>
      </c>
    </row>
    <row r="166" spans="1:6" s="279" customFormat="1"/>
    <row r="167" spans="1:6">
      <c r="B167" s="180"/>
      <c r="D167" t="s">
        <v>1319</v>
      </c>
    </row>
    <row r="168" spans="1:6">
      <c r="A168" s="71" t="s">
        <v>1002</v>
      </c>
      <c r="B168" s="180">
        <v>4257906.0849494822</v>
      </c>
      <c r="D168" s="399">
        <v>5.5078886150366019E-2</v>
      </c>
    </row>
    <row r="169" spans="1:6">
      <c r="A169" s="71" t="s">
        <v>1108</v>
      </c>
      <c r="B169" s="922">
        <v>600441.12000000023</v>
      </c>
    </row>
    <row r="170" spans="1:6">
      <c r="A170" s="71" t="s">
        <v>247</v>
      </c>
      <c r="B170" s="253">
        <v>1448474.0703977144</v>
      </c>
      <c r="D170" t="s">
        <v>1107</v>
      </c>
      <c r="F170" s="257" t="s">
        <v>660</v>
      </c>
    </row>
    <row r="171" spans="1:6">
      <c r="A171" s="71" t="s">
        <v>951</v>
      </c>
      <c r="B171" s="253">
        <v>876624.22193709994</v>
      </c>
      <c r="C171" s="196"/>
      <c r="D171" s="196">
        <v>0.13888</v>
      </c>
      <c r="F171" s="196">
        <v>2.0409999999999998E-2</v>
      </c>
    </row>
    <row r="172" spans="1:6">
      <c r="A172" s="71" t="s">
        <v>1092</v>
      </c>
      <c r="B172" s="244">
        <v>794588.3442349995</v>
      </c>
      <c r="C172" s="196" t="s">
        <v>1121</v>
      </c>
      <c r="D172" s="196">
        <v>0.1258</v>
      </c>
      <c r="F172" s="196">
        <v>1.8499999999999989E-2</v>
      </c>
    </row>
    <row r="173" spans="1:6">
      <c r="B173" s="180">
        <v>7978033.8415192962</v>
      </c>
      <c r="C173" s="245" t="e">
        <v>#NAME?</v>
      </c>
      <c r="D173" s="399" t="e">
        <v>#NAME?</v>
      </c>
      <c r="E173" t="s">
        <v>675</v>
      </c>
    </row>
    <row r="174" spans="1:6">
      <c r="A174" s="652" t="s">
        <v>1173</v>
      </c>
      <c r="B174" s="775">
        <v>2000000</v>
      </c>
      <c r="C174" s="245"/>
      <c r="D174" s="399"/>
    </row>
    <row r="175" spans="1:6">
      <c r="B175" s="180">
        <v>9978033.8415192962</v>
      </c>
      <c r="C175" s="245"/>
      <c r="D175" s="399">
        <v>6.888652027287985E-2</v>
      </c>
    </row>
    <row r="177" spans="1:5">
      <c r="A177" s="1" t="s">
        <v>397</v>
      </c>
    </row>
    <row r="178" spans="1:5">
      <c r="A178" s="274" t="s">
        <v>997</v>
      </c>
      <c r="B178" s="273">
        <v>2722157.85</v>
      </c>
    </row>
    <row r="179" spans="1:5">
      <c r="A179" s="71" t="s">
        <v>1324</v>
      </c>
      <c r="B179" s="275">
        <v>-2252000</v>
      </c>
    </row>
    <row r="180" spans="1:5">
      <c r="A180" s="71" t="s">
        <v>263</v>
      </c>
      <c r="B180" s="277">
        <v>470157.85000000009</v>
      </c>
      <c r="C180" s="196"/>
    </row>
    <row r="181" spans="1:5">
      <c r="A181" s="71"/>
      <c r="B181" s="277"/>
      <c r="C181" s="196"/>
    </row>
    <row r="182" spans="1:5">
      <c r="A182" s="71"/>
      <c r="B182" s="277"/>
      <c r="C182" s="196"/>
    </row>
    <row r="183" spans="1:5">
      <c r="A183" s="1" t="s">
        <v>1016</v>
      </c>
      <c r="B183" s="180">
        <v>3519823</v>
      </c>
      <c r="C183" s="196"/>
      <c r="D183" s="399">
        <v>4.8972208123020576E-2</v>
      </c>
    </row>
    <row r="184" spans="1:5">
      <c r="A184" s="71" t="s">
        <v>1108</v>
      </c>
      <c r="B184" s="922">
        <v>660485.23200000031</v>
      </c>
      <c r="C184" s="245" t="e">
        <v>#NAME?</v>
      </c>
      <c r="E184" t="s">
        <v>675</v>
      </c>
    </row>
    <row r="185" spans="1:5">
      <c r="A185" s="71" t="s">
        <v>247</v>
      </c>
      <c r="B185" s="253">
        <v>1566504.1686254411</v>
      </c>
    </row>
    <row r="186" spans="1:5">
      <c r="A186" s="71" t="s">
        <v>951</v>
      </c>
      <c r="B186" s="253">
        <v>918838</v>
      </c>
      <c r="D186" s="1224">
        <v>0.15531</v>
      </c>
    </row>
    <row r="187" spans="1:5">
      <c r="A187" s="71" t="s">
        <v>1092</v>
      </c>
      <c r="B187" s="244">
        <v>1005866.4165250008</v>
      </c>
      <c r="D187" s="196">
        <v>0.14430000000000001</v>
      </c>
    </row>
    <row r="188" spans="1:5">
      <c r="B188" s="180">
        <v>7671516.8171504419</v>
      </c>
      <c r="D188" s="399" t="e">
        <v>#NAME?</v>
      </c>
      <c r="E188" s="399" t="e">
        <v>#REF!</v>
      </c>
    </row>
    <row r="189" spans="1:5">
      <c r="B189" s="180"/>
      <c r="D189" s="399"/>
      <c r="E189" s="399"/>
    </row>
    <row r="190" spans="1:5">
      <c r="A190" s="1" t="s">
        <v>397</v>
      </c>
      <c r="D190" s="399"/>
      <c r="E190" s="399"/>
    </row>
    <row r="191" spans="1:5">
      <c r="A191" s="1254" t="s">
        <v>1012</v>
      </c>
      <c r="B191" s="273">
        <v>2774742.2199999997</v>
      </c>
      <c r="D191" s="399"/>
      <c r="E191" s="399"/>
    </row>
    <row r="192" spans="1:5">
      <c r="A192" s="482" t="s">
        <v>1612</v>
      </c>
      <c r="B192" s="275">
        <v>-2722157.85</v>
      </c>
      <c r="D192" s="399"/>
      <c r="E192" s="399"/>
    </row>
    <row r="193" spans="1:11">
      <c r="A193" s="71" t="s">
        <v>263</v>
      </c>
      <c r="B193" s="1255">
        <v>52584.369999999646</v>
      </c>
      <c r="C193" s="196"/>
    </row>
    <row r="194" spans="1:11">
      <c r="A194" s="71"/>
      <c r="B194" s="277"/>
      <c r="C194" s="196"/>
    </row>
    <row r="195" spans="1:11">
      <c r="A195" s="71"/>
      <c r="B195" s="277"/>
      <c r="C195" s="196"/>
      <c r="I195" t="s">
        <v>1566</v>
      </c>
      <c r="J195" s="1806">
        <v>156607486.40098101</v>
      </c>
      <c r="K195" t="s">
        <v>1730</v>
      </c>
    </row>
    <row r="196" spans="1:11">
      <c r="A196" s="1608" t="s">
        <v>1028</v>
      </c>
      <c r="B196" s="180">
        <v>3278852.4676756412</v>
      </c>
      <c r="C196" s="196"/>
      <c r="D196" s="399">
        <v>3.9074388453686749E-2</v>
      </c>
      <c r="F196" s="196"/>
      <c r="J196" s="318">
        <v>142900370</v>
      </c>
      <c r="K196" t="s">
        <v>1729</v>
      </c>
    </row>
    <row r="197" spans="1:11">
      <c r="A197" s="71" t="s">
        <v>1108</v>
      </c>
      <c r="B197" s="922">
        <v>726533.75520000036</v>
      </c>
      <c r="C197" s="245" t="e">
        <v>#NAME?</v>
      </c>
      <c r="D197" s="399"/>
      <c r="J197" s="70">
        <v>13707116.400981009</v>
      </c>
    </row>
    <row r="198" spans="1:11">
      <c r="A198" s="71" t="s">
        <v>247</v>
      </c>
      <c r="B198" s="1730">
        <v>2217742.4813841665</v>
      </c>
      <c r="J198" s="338">
        <v>10965693.120784808</v>
      </c>
      <c r="K198" t="s">
        <v>1731</v>
      </c>
    </row>
    <row r="199" spans="1:11">
      <c r="A199" s="482"/>
      <c r="B199" s="1730"/>
      <c r="J199" s="1824">
        <v>-2300000</v>
      </c>
      <c r="K199" s="482" t="s">
        <v>1768</v>
      </c>
    </row>
    <row r="200" spans="1:11">
      <c r="A200" s="71" t="s">
        <v>951</v>
      </c>
      <c r="B200" s="1590">
        <v>1436698</v>
      </c>
      <c r="D200" s="1224">
        <v>0.18062</v>
      </c>
      <c r="J200" s="338">
        <v>8665693.120784808</v>
      </c>
    </row>
    <row r="201" spans="1:11">
      <c r="A201" s="71" t="s">
        <v>1092</v>
      </c>
      <c r="B201" s="998">
        <v>1005866.4165249993</v>
      </c>
      <c r="D201" s="196">
        <v>0.1628</v>
      </c>
    </row>
    <row r="202" spans="1:11">
      <c r="B202" s="1609">
        <v>8665693.120784808</v>
      </c>
      <c r="C202" s="196"/>
    </row>
    <row r="203" spans="1:11">
      <c r="B203" s="1609"/>
      <c r="C203" s="196"/>
    </row>
    <row r="204" spans="1:11">
      <c r="A204" s="1" t="s">
        <v>397</v>
      </c>
      <c r="C204" s="196"/>
    </row>
    <row r="205" spans="1:11">
      <c r="A205" s="1254" t="s">
        <v>1181</v>
      </c>
      <c r="B205" s="1703">
        <v>2774742.2199999997</v>
      </c>
      <c r="C205" s="196"/>
    </row>
    <row r="206" spans="1:11">
      <c r="A206" s="482" t="s">
        <v>1708</v>
      </c>
      <c r="B206" s="275">
        <v>-2774742.2199999997</v>
      </c>
      <c r="C206" s="196"/>
    </row>
    <row r="207" spans="1:11">
      <c r="A207" s="71" t="s">
        <v>263</v>
      </c>
      <c r="B207" s="1255">
        <v>0</v>
      </c>
      <c r="C207" s="196"/>
    </row>
    <row r="208" spans="1:11">
      <c r="B208" s="1702"/>
      <c r="C208" s="196"/>
      <c r="G208" s="245"/>
    </row>
    <row r="209" spans="1:7">
      <c r="B209" s="1702"/>
      <c r="C209" s="196"/>
    </row>
    <row r="210" spans="1:7">
      <c r="B210" s="1702"/>
      <c r="C210" s="196"/>
    </row>
    <row r="211" spans="1:7">
      <c r="B211" s="1702"/>
      <c r="C211" s="196"/>
    </row>
    <row r="212" spans="1:7">
      <c r="C212" s="196"/>
    </row>
    <row r="213" spans="1:7">
      <c r="A213" s="1" t="s">
        <v>1029</v>
      </c>
      <c r="B213" s="180">
        <v>4969509.4636839665</v>
      </c>
      <c r="D213" s="399">
        <v>4.2527540296767627E-2</v>
      </c>
    </row>
    <row r="214" spans="1:7">
      <c r="A214" s="71" t="s">
        <v>1108</v>
      </c>
      <c r="B214" s="180"/>
      <c r="C214" s="245" t="e">
        <v>#NAME?</v>
      </c>
      <c r="D214" s="399"/>
    </row>
    <row r="215" spans="1:7">
      <c r="A215" s="71" t="s">
        <v>247</v>
      </c>
      <c r="B215" s="180">
        <v>2301229.9153012838</v>
      </c>
    </row>
    <row r="216" spans="1:7">
      <c r="A216" s="71" t="s">
        <v>951</v>
      </c>
      <c r="B216" s="253">
        <v>1509959</v>
      </c>
      <c r="D216" s="1224">
        <v>0.20799999999999999</v>
      </c>
    </row>
    <row r="217" spans="1:7">
      <c r="A217" s="71" t="s">
        <v>1092</v>
      </c>
      <c r="B217" s="244">
        <v>1005866.4165249993</v>
      </c>
      <c r="D217" s="196">
        <v>0.18129999999999999</v>
      </c>
    </row>
    <row r="218" spans="1:7">
      <c r="B218" s="245">
        <v>9786564.7955102492</v>
      </c>
      <c r="C218" s="196"/>
      <c r="G218" s="245"/>
    </row>
    <row r="219" spans="1:7">
      <c r="G219" s="196"/>
    </row>
    <row r="220" spans="1:7">
      <c r="A220" s="1" t="s">
        <v>1030</v>
      </c>
      <c r="B220" s="180">
        <v>5679075.7846727194</v>
      </c>
      <c r="D220" s="1545">
        <v>4.2863251196113991E-2</v>
      </c>
      <c r="G220" s="245"/>
    </row>
    <row r="221" spans="1:7">
      <c r="A221" s="1"/>
      <c r="B221" s="180"/>
      <c r="D221" s="399"/>
    </row>
    <row r="222" spans="1:7">
      <c r="A222" s="71" t="s">
        <v>247</v>
      </c>
      <c r="B222" s="231">
        <v>2399095.5632563862</v>
      </c>
      <c r="C222" t="s">
        <v>1664</v>
      </c>
    </row>
    <row r="223" spans="1:7">
      <c r="A223" s="71" t="s">
        <v>951</v>
      </c>
      <c r="B223" s="253">
        <v>1677732</v>
      </c>
      <c r="D223" s="1224">
        <v>0.23499999999999999</v>
      </c>
    </row>
    <row r="224" spans="1:7" ht="15.75">
      <c r="A224" s="71" t="s">
        <v>1092</v>
      </c>
      <c r="B224" s="244">
        <v>527400.2292050008</v>
      </c>
      <c r="D224" s="196">
        <v>0.191</v>
      </c>
      <c r="F224" s="1013"/>
    </row>
    <row r="225" spans="2:6" ht="15.75">
      <c r="B225" s="245">
        <v>10283303.577134106</v>
      </c>
      <c r="F225" s="1013"/>
    </row>
    <row r="227" spans="2:6" ht="15.75">
      <c r="F227" s="1013"/>
    </row>
  </sheetData>
  <phoneticPr fontId="12" type="noConversion"/>
  <pageMargins left="0.75" right="0.75" top="1" bottom="1" header="0.5" footer="0.5"/>
  <pageSetup scale="93" orientation="portrait" r:id="rId1"/>
  <headerFooter alignWithMargins="0">
    <oddHeader>&amp;CCOLA Costs
07/08 Adopted Budget</oddHeader>
  </headerFooter>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pageSetUpPr fitToPage="1"/>
  </sheetPr>
  <dimension ref="A1:V166"/>
  <sheetViews>
    <sheetView zoomScale="120" zoomScaleNormal="120" zoomScalePageLayoutView="120" workbookViewId="0">
      <selection sqref="A1:XFD1048576"/>
    </sheetView>
  </sheetViews>
  <sheetFormatPr defaultColWidth="8.7109375" defaultRowHeight="12.75"/>
  <cols>
    <col min="1" max="1" width="25" customWidth="1"/>
    <col min="2" max="2" width="10.7109375" style="475" customWidth="1"/>
    <col min="3" max="3" width="21.42578125" bestFit="1" customWidth="1"/>
    <col min="4" max="6" width="8" customWidth="1"/>
    <col min="7" max="7" width="8.85546875" customWidth="1"/>
    <col min="8" max="8" width="10" customWidth="1"/>
    <col min="9" max="9" width="10.7109375" style="475" bestFit="1" customWidth="1"/>
    <col min="10" max="10" width="26" customWidth="1"/>
    <col min="11" max="11" width="15.42578125" style="475" customWidth="1"/>
    <col min="16" max="16" width="9.85546875" customWidth="1"/>
    <col min="17" max="17" width="20.7109375" customWidth="1"/>
    <col min="18" max="18" width="14.7109375" customWidth="1"/>
    <col min="21" max="21" width="9.42578125" bestFit="1" customWidth="1"/>
  </cols>
  <sheetData>
    <row r="1" spans="1:21" s="1" customFormat="1" ht="13.5" thickBot="1">
      <c r="A1" s="1164" t="s">
        <v>1771</v>
      </c>
      <c r="B1" s="149"/>
      <c r="C1" s="1" t="s">
        <v>169</v>
      </c>
      <c r="D1" s="1" t="s">
        <v>169</v>
      </c>
      <c r="E1" s="1" t="s">
        <v>1814</v>
      </c>
      <c r="F1" s="1" t="s">
        <v>1815</v>
      </c>
      <c r="G1" s="1" t="s">
        <v>1816</v>
      </c>
      <c r="H1" s="149"/>
      <c r="I1" s="149"/>
      <c r="K1" s="149"/>
      <c r="R1" s="149"/>
    </row>
    <row r="2" spans="1:21">
      <c r="A2" s="951" t="s">
        <v>576</v>
      </c>
      <c r="B2" s="1939">
        <v>1638446.896742</v>
      </c>
      <c r="C2" s="1926" t="s">
        <v>753</v>
      </c>
      <c r="D2" s="1933"/>
      <c r="E2" s="1937"/>
      <c r="F2" s="1935"/>
      <c r="G2" s="1929"/>
      <c r="H2" s="1930"/>
      <c r="I2" s="1921">
        <v>420000</v>
      </c>
      <c r="J2" s="1922" t="s">
        <v>754</v>
      </c>
      <c r="N2" t="s">
        <v>1512</v>
      </c>
      <c r="O2" s="1115" t="s">
        <v>780</v>
      </c>
      <c r="P2" s="949">
        <v>1239480</v>
      </c>
      <c r="Q2" s="1116" t="s">
        <v>1412</v>
      </c>
      <c r="R2" s="1117">
        <v>100000</v>
      </c>
      <c r="S2" s="1116" t="s">
        <v>1413</v>
      </c>
    </row>
    <row r="3" spans="1:21">
      <c r="A3" s="944"/>
      <c r="B3" s="953"/>
      <c r="C3" s="1927" t="s">
        <v>755</v>
      </c>
      <c r="D3" s="1934"/>
      <c r="E3" s="1938"/>
      <c r="F3" s="1936"/>
      <c r="G3" s="1923"/>
      <c r="H3" s="1931"/>
      <c r="I3" s="1123">
        <v>30000</v>
      </c>
      <c r="J3" s="1924" t="s">
        <v>756</v>
      </c>
      <c r="O3" s="1118"/>
      <c r="P3" s="953"/>
      <c r="Q3" s="751" t="s">
        <v>1414</v>
      </c>
      <c r="R3" s="1120">
        <v>0</v>
      </c>
      <c r="S3" s="751" t="s">
        <v>1415</v>
      </c>
    </row>
    <row r="4" spans="1:21">
      <c r="A4" s="944"/>
      <c r="B4" s="953"/>
      <c r="C4" s="1927"/>
      <c r="D4" s="1934"/>
      <c r="E4" s="1938"/>
      <c r="F4" s="1936"/>
      <c r="G4" s="1923"/>
      <c r="H4" s="1931"/>
      <c r="I4" s="1123"/>
      <c r="J4" s="1924"/>
      <c r="O4" s="751"/>
      <c r="P4" s="953"/>
      <c r="Q4" s="751" t="s">
        <v>1067</v>
      </c>
      <c r="R4" s="1120">
        <v>68000</v>
      </c>
      <c r="S4" s="751" t="s">
        <v>1068</v>
      </c>
    </row>
    <row r="5" spans="1:21">
      <c r="A5" s="944"/>
      <c r="B5" s="953"/>
      <c r="C5" s="1927"/>
      <c r="D5" s="1934"/>
      <c r="E5" s="1938"/>
      <c r="F5" s="1936"/>
      <c r="G5" s="1923"/>
      <c r="H5" s="1931"/>
      <c r="I5" s="1123"/>
      <c r="J5" s="1924"/>
      <c r="O5" s="751"/>
      <c r="P5" s="953"/>
      <c r="Q5" s="751" t="s">
        <v>1069</v>
      </c>
      <c r="R5" s="1120">
        <v>34000</v>
      </c>
      <c r="S5" s="751" t="s">
        <v>1070</v>
      </c>
    </row>
    <row r="6" spans="1:21">
      <c r="A6" s="944"/>
      <c r="B6" s="953"/>
      <c r="C6" s="1927"/>
      <c r="D6" s="1934"/>
      <c r="E6" s="1938"/>
      <c r="F6" s="1936"/>
      <c r="G6" s="1923"/>
      <c r="H6" s="1931"/>
      <c r="I6" s="1123"/>
      <c r="J6" s="1924"/>
      <c r="O6" s="1121"/>
      <c r="P6" s="953"/>
      <c r="Q6" s="751" t="s">
        <v>1071</v>
      </c>
      <c r="R6" s="1120">
        <v>100000</v>
      </c>
      <c r="S6" s="751" t="s">
        <v>1072</v>
      </c>
      <c r="U6" s="336">
        <v>670000</v>
      </c>
    </row>
    <row r="7" spans="1:21">
      <c r="A7" s="944"/>
      <c r="B7" s="953"/>
      <c r="C7" s="1927" t="s">
        <v>772</v>
      </c>
      <c r="D7" s="1934" t="s">
        <v>1842</v>
      </c>
      <c r="E7" s="1938" t="s">
        <v>1848</v>
      </c>
      <c r="F7" s="1936" t="s">
        <v>1817</v>
      </c>
      <c r="G7" s="1923" t="s">
        <v>1831</v>
      </c>
      <c r="H7" s="1931"/>
      <c r="I7" s="1123">
        <v>10000</v>
      </c>
      <c r="J7" s="1924" t="s">
        <v>773</v>
      </c>
      <c r="O7" s="751"/>
      <c r="P7" s="1122"/>
      <c r="Q7" s="751" t="s">
        <v>1724</v>
      </c>
      <c r="R7" s="1120">
        <v>170000</v>
      </c>
      <c r="S7" s="751" t="s">
        <v>1074</v>
      </c>
    </row>
    <row r="8" spans="1:21">
      <c r="A8" s="944"/>
      <c r="B8" s="953"/>
      <c r="C8" s="1927" t="s">
        <v>1410</v>
      </c>
      <c r="D8" s="1934" t="s">
        <v>1843</v>
      </c>
      <c r="E8" s="1938" t="s">
        <v>1849</v>
      </c>
      <c r="F8" s="1936" t="s">
        <v>1818</v>
      </c>
      <c r="G8" s="1923" t="s">
        <v>1832</v>
      </c>
      <c r="H8" s="1931"/>
      <c r="I8" s="1123">
        <v>25000</v>
      </c>
      <c r="J8" s="1924" t="s">
        <v>1125</v>
      </c>
      <c r="O8" s="751"/>
      <c r="P8" s="953"/>
      <c r="Q8" s="751" t="s">
        <v>1725</v>
      </c>
      <c r="R8" s="1120">
        <v>400000</v>
      </c>
      <c r="S8" s="751" t="s">
        <v>1076</v>
      </c>
    </row>
    <row r="9" spans="1:21">
      <c r="A9" s="944"/>
      <c r="B9" s="953"/>
      <c r="C9" s="1927" t="s">
        <v>1126</v>
      </c>
      <c r="D9" s="1934" t="s">
        <v>1844</v>
      </c>
      <c r="E9" s="1938" t="s">
        <v>1850</v>
      </c>
      <c r="F9" s="1936" t="s">
        <v>1819</v>
      </c>
      <c r="G9" s="1923" t="s">
        <v>1833</v>
      </c>
      <c r="H9" s="1931"/>
      <c r="I9" s="1123">
        <v>50000</v>
      </c>
      <c r="J9" s="1924" t="s">
        <v>1127</v>
      </c>
      <c r="O9" s="751"/>
      <c r="P9" s="953"/>
      <c r="Q9" s="751" t="s">
        <v>1724</v>
      </c>
      <c r="R9" s="1120">
        <v>26480</v>
      </c>
      <c r="S9" s="751" t="s">
        <v>1417</v>
      </c>
    </row>
    <row r="10" spans="1:21">
      <c r="A10" s="944"/>
      <c r="B10" s="953"/>
      <c r="C10" s="1927" t="s">
        <v>1042</v>
      </c>
      <c r="D10" s="1934" t="s">
        <v>1845</v>
      </c>
      <c r="E10" s="1938" t="s">
        <v>1851</v>
      </c>
      <c r="F10" s="1936" t="s">
        <v>1820</v>
      </c>
      <c r="G10" s="1923" t="s">
        <v>1834</v>
      </c>
      <c r="H10" s="1931"/>
      <c r="I10" s="1123">
        <v>142825.481742</v>
      </c>
      <c r="J10" s="1924" t="s">
        <v>1723</v>
      </c>
      <c r="O10" s="751"/>
      <c r="P10" s="953"/>
      <c r="Q10" s="751" t="s">
        <v>1418</v>
      </c>
      <c r="R10" s="1120">
        <v>7000</v>
      </c>
      <c r="S10" s="612" t="s">
        <v>1419</v>
      </c>
    </row>
    <row r="11" spans="1:21">
      <c r="A11" s="944"/>
      <c r="B11" s="953"/>
      <c r="C11" s="1927" t="s">
        <v>769</v>
      </c>
      <c r="D11" s="1934" t="s">
        <v>1845</v>
      </c>
      <c r="E11" s="1938" t="s">
        <v>1851</v>
      </c>
      <c r="F11" s="1936" t="s">
        <v>1821</v>
      </c>
      <c r="G11" s="1923" t="s">
        <v>1835</v>
      </c>
      <c r="H11" s="1931"/>
      <c r="I11" s="1123">
        <v>120000</v>
      </c>
      <c r="J11" s="1924" t="s">
        <v>770</v>
      </c>
      <c r="O11" s="751"/>
      <c r="P11" s="953"/>
      <c r="Q11" s="751" t="s">
        <v>1420</v>
      </c>
      <c r="R11" s="1120">
        <v>1000</v>
      </c>
      <c r="S11" s="751" t="s">
        <v>1421</v>
      </c>
    </row>
    <row r="12" spans="1:21">
      <c r="A12" s="944"/>
      <c r="B12" s="953"/>
      <c r="C12" s="1927" t="s">
        <v>771</v>
      </c>
      <c r="D12" s="1934" t="s">
        <v>1845</v>
      </c>
      <c r="E12" s="1938" t="s">
        <v>1851</v>
      </c>
      <c r="F12" s="1936" t="s">
        <v>1822</v>
      </c>
      <c r="G12" s="1923" t="s">
        <v>1836</v>
      </c>
      <c r="H12" s="1931"/>
      <c r="I12" s="1123">
        <v>200000</v>
      </c>
      <c r="J12" s="1924" t="s">
        <v>72</v>
      </c>
      <c r="O12" s="751"/>
      <c r="P12" s="953"/>
      <c r="Q12" s="751" t="s">
        <v>1422</v>
      </c>
      <c r="R12" s="1120">
        <v>1500</v>
      </c>
      <c r="S12" s="751" t="s">
        <v>1423</v>
      </c>
    </row>
    <row r="13" spans="1:21">
      <c r="A13" s="944"/>
      <c r="B13" s="953"/>
      <c r="C13" s="1927"/>
      <c r="D13" s="1934" t="s">
        <v>1823</v>
      </c>
      <c r="E13" s="1938" t="s">
        <v>1823</v>
      </c>
      <c r="F13" s="1936" t="s">
        <v>1823</v>
      </c>
      <c r="G13" s="1923" t="s">
        <v>1823</v>
      </c>
      <c r="H13" s="1931"/>
      <c r="I13" s="1123"/>
      <c r="J13" s="1924"/>
      <c r="O13" s="751"/>
      <c r="P13" s="953"/>
      <c r="Q13" s="751" t="s">
        <v>1424</v>
      </c>
      <c r="R13" s="1120">
        <v>300</v>
      </c>
      <c r="S13" s="751" t="s">
        <v>1425</v>
      </c>
    </row>
    <row r="14" spans="1:21">
      <c r="A14" s="944" t="s">
        <v>1772</v>
      </c>
      <c r="B14" s="953"/>
      <c r="C14" s="1927" t="s">
        <v>1132</v>
      </c>
      <c r="D14" s="1934" t="s">
        <v>1845</v>
      </c>
      <c r="E14" s="1938" t="s">
        <v>1851</v>
      </c>
      <c r="F14" s="1936" t="s">
        <v>1824</v>
      </c>
      <c r="G14" s="1923" t="s">
        <v>1837</v>
      </c>
      <c r="H14" s="1931"/>
      <c r="I14" s="1123">
        <v>125000</v>
      </c>
      <c r="J14" s="1924" t="s">
        <v>1907</v>
      </c>
      <c r="K14" s="475" t="s">
        <v>1608</v>
      </c>
      <c r="O14" s="751"/>
      <c r="P14" s="953"/>
      <c r="Q14" s="751" t="s">
        <v>1426</v>
      </c>
      <c r="R14" s="1120">
        <v>4000</v>
      </c>
      <c r="S14" s="751" t="s">
        <v>1427</v>
      </c>
    </row>
    <row r="15" spans="1:21">
      <c r="A15" s="944"/>
      <c r="B15" s="953"/>
      <c r="C15" s="1927" t="s">
        <v>777</v>
      </c>
      <c r="D15" s="1934" t="s">
        <v>1845</v>
      </c>
      <c r="E15" s="1938" t="s">
        <v>1851</v>
      </c>
      <c r="F15" s="1936" t="s">
        <v>1825</v>
      </c>
      <c r="G15" s="1923" t="s">
        <v>1838</v>
      </c>
      <c r="H15" s="1931"/>
      <c r="I15" s="1123">
        <v>40000</v>
      </c>
      <c r="J15" s="1924" t="s">
        <v>778</v>
      </c>
      <c r="K15" s="475" t="s">
        <v>1795</v>
      </c>
      <c r="O15" s="751"/>
      <c r="P15" s="953"/>
      <c r="Q15" s="751" t="s">
        <v>1428</v>
      </c>
      <c r="R15" s="1120">
        <v>3600</v>
      </c>
      <c r="S15" s="751" t="s">
        <v>1429</v>
      </c>
    </row>
    <row r="16" spans="1:21">
      <c r="A16" s="944"/>
      <c r="B16" s="953"/>
      <c r="C16" s="1927" t="s">
        <v>1579</v>
      </c>
      <c r="D16" s="1934" t="s">
        <v>1846</v>
      </c>
      <c r="E16" s="1938" t="s">
        <v>1852</v>
      </c>
      <c r="F16" s="1936" t="s">
        <v>1826</v>
      </c>
      <c r="G16" s="1923" t="s">
        <v>1839</v>
      </c>
      <c r="H16" s="1931"/>
      <c r="I16" s="1123">
        <v>58800</v>
      </c>
      <c r="J16" s="1924" t="s">
        <v>1580</v>
      </c>
      <c r="O16" s="751"/>
      <c r="P16" s="953"/>
      <c r="Q16" s="751" t="s">
        <v>1430</v>
      </c>
      <c r="R16" s="1120">
        <v>4000</v>
      </c>
      <c r="S16" s="751" t="s">
        <v>1431</v>
      </c>
    </row>
    <row r="17" spans="1:22">
      <c r="A17" s="944"/>
      <c r="B17" s="953"/>
      <c r="C17" s="1927" t="s">
        <v>779</v>
      </c>
      <c r="D17" s="1934" t="s">
        <v>1845</v>
      </c>
      <c r="E17" s="1938" t="s">
        <v>1851</v>
      </c>
      <c r="F17" s="1936" t="s">
        <v>1827</v>
      </c>
      <c r="G17" s="1923" t="s">
        <v>1840</v>
      </c>
      <c r="H17" s="1931"/>
      <c r="I17" s="1123">
        <v>150000</v>
      </c>
      <c r="J17" s="1924" t="s">
        <v>780</v>
      </c>
      <c r="K17" s="475" t="s">
        <v>1773</v>
      </c>
      <c r="O17" s="751"/>
      <c r="P17" s="953"/>
      <c r="Q17" s="751" t="s">
        <v>1080</v>
      </c>
      <c r="R17" s="1120">
        <v>0</v>
      </c>
      <c r="S17" s="751" t="s">
        <v>1078</v>
      </c>
      <c r="V17" t="s">
        <v>1722</v>
      </c>
    </row>
    <row r="18" spans="1:22">
      <c r="A18" s="944"/>
      <c r="B18" s="953"/>
      <c r="C18" s="1927" t="s">
        <v>781</v>
      </c>
      <c r="D18" s="1934" t="s">
        <v>1845</v>
      </c>
      <c r="E18" s="1938" t="s">
        <v>1851</v>
      </c>
      <c r="F18" s="1936" t="s">
        <v>1828</v>
      </c>
      <c r="G18" s="1923" t="s">
        <v>1840</v>
      </c>
      <c r="H18" s="1931"/>
      <c r="I18" s="1123">
        <v>30000</v>
      </c>
      <c r="J18" s="1924" t="s">
        <v>782</v>
      </c>
      <c r="O18" s="751"/>
      <c r="P18" s="953"/>
      <c r="Q18" s="751" t="s">
        <v>1077</v>
      </c>
      <c r="R18" s="1120">
        <v>0</v>
      </c>
      <c r="S18" s="751" t="s">
        <v>1078</v>
      </c>
    </row>
    <row r="19" spans="1:22">
      <c r="A19" s="944"/>
      <c r="B19" s="953"/>
      <c r="C19" s="1927" t="s">
        <v>783</v>
      </c>
      <c r="D19" s="1934" t="s">
        <v>1845</v>
      </c>
      <c r="E19" s="1938" t="s">
        <v>1851</v>
      </c>
      <c r="F19" s="1936" t="s">
        <v>1829</v>
      </c>
      <c r="G19" s="1923" t="s">
        <v>1840</v>
      </c>
      <c r="H19" s="1931"/>
      <c r="I19" s="1123">
        <v>68000</v>
      </c>
      <c r="J19" s="1924" t="s">
        <v>784</v>
      </c>
      <c r="O19" s="751"/>
      <c r="P19" s="953"/>
      <c r="Q19" s="751" t="s">
        <v>1079</v>
      </c>
      <c r="R19" s="1120">
        <v>0</v>
      </c>
      <c r="S19" s="751" t="s">
        <v>1078</v>
      </c>
    </row>
    <row r="20" spans="1:22">
      <c r="A20" s="944"/>
      <c r="B20" s="953"/>
      <c r="C20" s="1927" t="s">
        <v>785</v>
      </c>
      <c r="D20" s="1934" t="s">
        <v>1845</v>
      </c>
      <c r="E20" s="1938" t="s">
        <v>1851</v>
      </c>
      <c r="F20" s="1936" t="s">
        <v>1830</v>
      </c>
      <c r="G20" s="1923" t="s">
        <v>1840</v>
      </c>
      <c r="H20" s="1931"/>
      <c r="I20" s="1123">
        <v>12000</v>
      </c>
      <c r="J20" s="1924" t="s">
        <v>1514</v>
      </c>
      <c r="O20" s="751"/>
      <c r="P20" s="953"/>
      <c r="Q20" s="751" t="s">
        <v>1601</v>
      </c>
      <c r="R20" s="1120">
        <v>0</v>
      </c>
      <c r="S20" s="751" t="s">
        <v>1602</v>
      </c>
      <c r="V20" t="s">
        <v>1796</v>
      </c>
    </row>
    <row r="21" spans="1:22">
      <c r="A21" s="944"/>
      <c r="B21" s="953"/>
      <c r="C21" s="1927" t="s">
        <v>1515</v>
      </c>
      <c r="D21" s="1934" t="s">
        <v>1845</v>
      </c>
      <c r="E21" s="1938" t="s">
        <v>1853</v>
      </c>
      <c r="F21" s="1936" t="s">
        <v>1847</v>
      </c>
      <c r="G21" s="1923" t="s">
        <v>1841</v>
      </c>
      <c r="H21" s="1931"/>
      <c r="I21" s="1123">
        <v>30000</v>
      </c>
      <c r="J21" s="1924" t="s">
        <v>788</v>
      </c>
      <c r="K21" s="475" t="s">
        <v>1774</v>
      </c>
      <c r="O21" s="751"/>
      <c r="P21" s="953"/>
      <c r="Q21" s="751" t="s">
        <v>1603</v>
      </c>
      <c r="R21" s="1120">
        <v>0</v>
      </c>
      <c r="S21" s="751" t="s">
        <v>1604</v>
      </c>
      <c r="V21" t="s">
        <v>1796</v>
      </c>
    </row>
    <row r="22" spans="1:22">
      <c r="A22" s="944"/>
      <c r="B22" s="953"/>
      <c r="C22" s="1927"/>
      <c r="D22" s="2014"/>
      <c r="E22" s="2051"/>
      <c r="F22" s="2039"/>
      <c r="G22" s="2041"/>
      <c r="H22" s="1931"/>
      <c r="I22" s="1925"/>
      <c r="J22" s="2042"/>
      <c r="O22" s="751"/>
      <c r="P22" s="953"/>
      <c r="Q22" s="751" t="s">
        <v>1444</v>
      </c>
      <c r="R22" s="2045">
        <v>0</v>
      </c>
      <c r="S22" s="751" t="s">
        <v>1443</v>
      </c>
    </row>
    <row r="23" spans="1:22">
      <c r="A23" s="944"/>
      <c r="B23" s="953"/>
      <c r="C23" s="1927"/>
      <c r="D23" s="2014"/>
      <c r="E23" s="2051"/>
      <c r="F23" s="2039"/>
      <c r="G23" s="2041"/>
      <c r="H23" s="1931"/>
      <c r="I23" s="1925"/>
      <c r="J23" s="2042"/>
      <c r="O23" s="751"/>
      <c r="P23" s="953"/>
      <c r="Q23" s="751"/>
      <c r="R23" s="1120"/>
      <c r="S23" s="751"/>
    </row>
    <row r="24" spans="1:22">
      <c r="A24" s="944"/>
      <c r="B24" s="953"/>
      <c r="C24" s="1927"/>
      <c r="D24" s="2014"/>
      <c r="E24" s="2051"/>
      <c r="F24" s="2039"/>
      <c r="G24" s="2041"/>
      <c r="H24" s="1931"/>
      <c r="I24" s="1925"/>
      <c r="J24" s="2042"/>
      <c r="O24" s="751"/>
      <c r="P24" s="953"/>
      <c r="Q24" s="751" t="s">
        <v>1438</v>
      </c>
      <c r="R24" s="1120">
        <v>300</v>
      </c>
      <c r="S24" s="751" t="s">
        <v>1436</v>
      </c>
    </row>
    <row r="25" spans="1:22">
      <c r="A25" s="944"/>
      <c r="B25" s="953"/>
      <c r="C25" s="1927"/>
      <c r="D25" s="2014"/>
      <c r="E25" s="2049"/>
      <c r="F25" s="2039"/>
      <c r="G25" s="2041"/>
      <c r="H25" s="1931"/>
      <c r="I25" s="1925"/>
      <c r="J25" s="2042"/>
      <c r="O25" s="751"/>
      <c r="P25" s="953"/>
      <c r="Q25" s="751"/>
      <c r="R25" s="1120"/>
      <c r="S25" s="751"/>
    </row>
    <row r="26" spans="1:22">
      <c r="A26" s="944"/>
      <c r="B26" s="953"/>
      <c r="C26" s="1927"/>
      <c r="D26" s="2014"/>
      <c r="E26" s="2049"/>
      <c r="F26" s="2039"/>
      <c r="G26" s="2041"/>
      <c r="H26" s="1931"/>
      <c r="I26" s="1925"/>
      <c r="J26" s="2042"/>
      <c r="O26" s="751"/>
      <c r="P26" s="953"/>
      <c r="Q26" s="751" t="s">
        <v>1439</v>
      </c>
      <c r="R26" s="1120">
        <v>20500</v>
      </c>
      <c r="S26" s="751" t="s">
        <v>1440</v>
      </c>
    </row>
    <row r="27" spans="1:22">
      <c r="A27" s="944"/>
      <c r="B27" s="953"/>
      <c r="C27" s="1927"/>
      <c r="D27" s="2014"/>
      <c r="E27" s="2049"/>
      <c r="F27" s="2039"/>
      <c r="G27" s="2041"/>
      <c r="H27" s="1931"/>
      <c r="I27" s="1925"/>
      <c r="J27" s="2042"/>
      <c r="O27" s="751"/>
      <c r="P27" s="953"/>
      <c r="Q27" s="751" t="s">
        <v>1442</v>
      </c>
      <c r="R27" s="1120">
        <v>20000</v>
      </c>
      <c r="S27" s="1209" t="s">
        <v>854</v>
      </c>
    </row>
    <row r="28" spans="1:22">
      <c r="A28" s="944"/>
      <c r="B28" s="953"/>
      <c r="C28" s="1927"/>
      <c r="D28" s="2014"/>
      <c r="E28" s="2049"/>
      <c r="F28" s="2015"/>
      <c r="G28" s="2015"/>
      <c r="H28" s="1931"/>
      <c r="I28" s="1925"/>
      <c r="J28" s="1920"/>
      <c r="O28" s="751"/>
      <c r="P28" s="953"/>
      <c r="Q28" s="751" t="s">
        <v>1442</v>
      </c>
      <c r="R28" s="946">
        <v>150000</v>
      </c>
      <c r="S28" s="1210" t="s">
        <v>1144</v>
      </c>
    </row>
    <row r="29" spans="1:22">
      <c r="A29" s="944"/>
      <c r="B29" s="953"/>
      <c r="C29" s="1927"/>
      <c r="D29" s="2014"/>
      <c r="E29" s="2049"/>
      <c r="F29" s="2039"/>
      <c r="G29" s="2041"/>
      <c r="H29" s="1931"/>
      <c r="I29" s="1925"/>
      <c r="J29" s="2042"/>
      <c r="O29" s="751"/>
      <c r="P29" s="953"/>
      <c r="Q29" s="751" t="s">
        <v>1444</v>
      </c>
      <c r="R29" s="1123">
        <v>0</v>
      </c>
      <c r="S29" s="751" t="s">
        <v>1443</v>
      </c>
    </row>
    <row r="30" spans="1:22">
      <c r="A30" s="944"/>
      <c r="B30" s="953"/>
      <c r="C30" s="1927"/>
      <c r="D30" s="2014"/>
      <c r="E30" s="2049"/>
      <c r="F30" s="2039"/>
      <c r="G30" s="2041"/>
      <c r="H30" s="1931"/>
      <c r="I30" s="1925"/>
      <c r="J30" s="2042"/>
      <c r="O30" s="751"/>
      <c r="P30" s="953"/>
      <c r="Q30" s="751" t="s">
        <v>1445</v>
      </c>
      <c r="R30" s="1120">
        <v>70000</v>
      </c>
      <c r="S30" s="751" t="s">
        <v>1446</v>
      </c>
    </row>
    <row r="31" spans="1:22">
      <c r="A31" s="944"/>
      <c r="B31" s="953"/>
      <c r="C31" s="1927"/>
      <c r="D31" s="2014">
        <v>18000</v>
      </c>
      <c r="E31" s="2053">
        <v>4531</v>
      </c>
      <c r="F31" s="2039">
        <v>2196</v>
      </c>
      <c r="G31" s="2041">
        <v>703001</v>
      </c>
      <c r="H31" s="1931">
        <v>102910.06775999999</v>
      </c>
      <c r="I31" s="1925"/>
      <c r="J31" s="2044" t="s">
        <v>1854</v>
      </c>
      <c r="O31" s="751"/>
      <c r="P31" s="953"/>
      <c r="Q31" s="751"/>
      <c r="R31" s="1120"/>
      <c r="S31" s="751"/>
    </row>
    <row r="32" spans="1:22">
      <c r="A32" s="944"/>
      <c r="B32" s="953"/>
      <c r="C32" s="1927"/>
      <c r="D32" s="2014">
        <v>18000</v>
      </c>
      <c r="E32" s="2053">
        <v>4531</v>
      </c>
      <c r="F32" s="2015">
        <v>2120</v>
      </c>
      <c r="G32" s="2015">
        <v>703003</v>
      </c>
      <c r="H32" s="1931">
        <v>23911.347240000003</v>
      </c>
      <c r="I32" s="1925"/>
      <c r="J32" s="2033" t="s">
        <v>1855</v>
      </c>
      <c r="O32" s="751"/>
      <c r="P32" s="953"/>
      <c r="Q32" s="751" t="s">
        <v>1447</v>
      </c>
      <c r="R32" s="1120">
        <v>0</v>
      </c>
      <c r="S32" s="751" t="s">
        <v>1446</v>
      </c>
    </row>
    <row r="33" spans="1:19">
      <c r="A33" s="944"/>
      <c r="B33" s="953"/>
      <c r="C33" s="1927"/>
      <c r="D33" s="2011"/>
      <c r="E33" s="2052"/>
      <c r="F33" s="2040"/>
      <c r="G33" s="2040"/>
      <c r="H33" s="1931"/>
      <c r="I33" s="1123"/>
      <c r="J33" s="2043"/>
      <c r="O33" s="751"/>
      <c r="P33" s="953"/>
      <c r="Q33" s="751"/>
      <c r="R33" s="1120"/>
      <c r="S33" s="751"/>
    </row>
    <row r="34" spans="1:19">
      <c r="A34" s="944"/>
      <c r="B34" s="953"/>
      <c r="C34" s="1927"/>
      <c r="D34" s="2011"/>
      <c r="E34" s="2052"/>
      <c r="F34" s="2012"/>
      <c r="G34" s="2013"/>
      <c r="H34" s="1931"/>
      <c r="I34" s="1123"/>
      <c r="J34" s="1924"/>
      <c r="O34" s="751"/>
      <c r="P34" s="953"/>
      <c r="Q34" s="751"/>
      <c r="R34" s="1120"/>
      <c r="S34" s="751"/>
    </row>
    <row r="35" spans="1:19">
      <c r="A35" s="944"/>
      <c r="B35" s="953"/>
      <c r="C35" s="1927"/>
      <c r="D35" s="2011"/>
      <c r="E35" s="2050"/>
      <c r="F35" s="2012"/>
      <c r="G35" s="2013"/>
      <c r="H35" s="1931"/>
      <c r="I35" s="1123"/>
      <c r="J35" s="2043"/>
      <c r="O35" s="751"/>
      <c r="P35" s="953"/>
      <c r="Q35" s="751"/>
      <c r="R35" s="1120"/>
      <c r="S35" s="751"/>
    </row>
    <row r="36" spans="1:19">
      <c r="A36" s="944"/>
      <c r="B36" s="953"/>
      <c r="C36" s="1927"/>
      <c r="D36" s="2011"/>
      <c r="E36" s="2050"/>
      <c r="F36" s="2040"/>
      <c r="G36" s="2040"/>
      <c r="H36" s="1931"/>
      <c r="I36" s="1123"/>
      <c r="J36" s="2043"/>
      <c r="O36" s="751"/>
      <c r="P36" s="953"/>
      <c r="Q36" s="751" t="s">
        <v>1448</v>
      </c>
      <c r="R36" s="1120">
        <v>0</v>
      </c>
      <c r="S36" s="751" t="s">
        <v>1449</v>
      </c>
    </row>
    <row r="37" spans="1:19">
      <c r="A37" s="944"/>
      <c r="B37" s="953"/>
      <c r="C37" s="1927"/>
      <c r="D37" s="2011"/>
      <c r="E37" s="2050"/>
      <c r="F37" s="2012"/>
      <c r="G37" s="2013"/>
      <c r="H37" s="1931"/>
      <c r="I37" s="1123"/>
      <c r="J37" s="1924"/>
      <c r="O37" s="751"/>
      <c r="P37" s="953"/>
      <c r="Q37" s="1166" t="s">
        <v>1516</v>
      </c>
      <c r="R37" s="1120">
        <v>58800</v>
      </c>
      <c r="S37" s="944" t="s">
        <v>1580</v>
      </c>
    </row>
    <row r="38" spans="1:19">
      <c r="A38" s="944"/>
      <c r="B38" s="953"/>
      <c r="C38" s="1927"/>
      <c r="D38" s="2011"/>
      <c r="E38" s="2050"/>
      <c r="F38" s="2040"/>
      <c r="G38" s="2040"/>
      <c r="H38" s="1931"/>
      <c r="I38" s="1925"/>
      <c r="J38" s="2043"/>
      <c r="O38" s="751"/>
      <c r="P38" s="953"/>
      <c r="Q38" s="751"/>
      <c r="R38" s="1120"/>
      <c r="S38" s="2046"/>
    </row>
    <row r="39" spans="1:19">
      <c r="A39" s="944"/>
      <c r="B39" s="953"/>
      <c r="C39" s="1927"/>
      <c r="D39" s="2011"/>
      <c r="E39" s="2047"/>
      <c r="F39" s="2040"/>
      <c r="G39" s="2040"/>
      <c r="H39" s="1931"/>
      <c r="I39" s="1925"/>
      <c r="J39" s="2043"/>
      <c r="O39" s="751"/>
      <c r="P39" s="953"/>
      <c r="Q39" s="751"/>
      <c r="R39" s="1120"/>
      <c r="S39" s="751"/>
    </row>
    <row r="40" spans="1:19">
      <c r="A40" s="944"/>
      <c r="B40" s="953"/>
      <c r="C40" s="1927"/>
      <c r="D40" s="2011"/>
      <c r="E40" s="2047"/>
      <c r="F40" s="2040"/>
      <c r="G40" s="2040"/>
      <c r="H40" s="1931"/>
      <c r="I40" s="1925"/>
      <c r="J40" s="2043"/>
      <c r="O40" s="751"/>
      <c r="P40" s="953"/>
      <c r="Q40" s="751"/>
      <c r="R40" s="1120"/>
      <c r="S40" s="751"/>
    </row>
    <row r="41" spans="1:19">
      <c r="A41" s="944"/>
      <c r="B41" s="953"/>
      <c r="C41" s="1927"/>
      <c r="D41" s="2011"/>
      <c r="E41" s="2047"/>
      <c r="F41" s="2040"/>
      <c r="G41" s="2040"/>
      <c r="H41" s="1931"/>
      <c r="I41" s="1925"/>
      <c r="J41" s="2043"/>
      <c r="O41" s="751"/>
      <c r="P41" s="953"/>
      <c r="Q41" s="751"/>
      <c r="R41" s="1120"/>
      <c r="S41" s="751"/>
    </row>
    <row r="42" spans="1:19">
      <c r="A42" s="944"/>
      <c r="B42" s="953"/>
      <c r="C42" s="1927"/>
      <c r="D42" s="2011"/>
      <c r="E42" s="2047"/>
      <c r="F42" s="2040"/>
      <c r="G42" s="2040"/>
      <c r="H42" s="1931"/>
      <c r="I42" s="1925"/>
      <c r="J42" s="2043"/>
      <c r="O42" s="751"/>
      <c r="P42" s="953"/>
      <c r="Q42" s="751"/>
      <c r="R42" s="1120"/>
      <c r="S42" s="751"/>
    </row>
    <row r="43" spans="1:19">
      <c r="A43" s="944"/>
      <c r="B43" s="953"/>
      <c r="C43" s="1927"/>
      <c r="D43" s="2011"/>
      <c r="E43" s="2047"/>
      <c r="F43" s="2040"/>
      <c r="G43" s="2040"/>
      <c r="H43" s="1931"/>
      <c r="I43" s="1925"/>
      <c r="J43" s="1920"/>
      <c r="O43" s="751"/>
      <c r="P43" s="953"/>
      <c r="Q43" s="751"/>
      <c r="R43" s="1120"/>
      <c r="S43" s="751"/>
    </row>
    <row r="44" spans="1:19">
      <c r="A44" s="944"/>
      <c r="B44" s="953"/>
      <c r="C44" s="1927"/>
      <c r="D44" s="2011"/>
      <c r="E44" s="2047"/>
      <c r="F44" s="2040"/>
      <c r="G44" s="2040"/>
      <c r="H44" s="1931"/>
      <c r="I44" s="1925"/>
      <c r="J44" s="2043"/>
      <c r="O44" s="751"/>
      <c r="P44" s="953"/>
      <c r="Q44" s="751"/>
      <c r="R44" s="1120"/>
      <c r="S44" s="751"/>
    </row>
    <row r="45" spans="1:19">
      <c r="A45" s="944"/>
      <c r="B45" s="953"/>
      <c r="C45" s="1927"/>
      <c r="D45" s="2011"/>
      <c r="E45" s="2047"/>
      <c r="F45" s="2012"/>
      <c r="G45" s="2013"/>
      <c r="H45" s="1931"/>
      <c r="I45" s="1925"/>
      <c r="J45" s="1924"/>
      <c r="O45" s="751"/>
      <c r="P45" s="953"/>
      <c r="Q45" s="751"/>
      <c r="R45" s="1120"/>
      <c r="S45" s="751"/>
    </row>
    <row r="46" spans="1:19">
      <c r="A46" s="944"/>
      <c r="B46" s="953"/>
      <c r="C46" s="1927"/>
      <c r="D46" s="2011"/>
      <c r="E46" s="2047"/>
      <c r="F46" s="2012"/>
      <c r="G46" s="2013"/>
      <c r="H46" s="1931"/>
      <c r="I46" s="1925"/>
      <c r="J46" s="1924"/>
      <c r="O46" s="751"/>
      <c r="P46" s="953"/>
      <c r="Q46" s="751"/>
      <c r="R46" s="1120"/>
      <c r="S46" s="751"/>
    </row>
    <row r="47" spans="1:19" ht="13.5" thickBot="1">
      <c r="A47" s="944"/>
      <c r="B47" s="953"/>
      <c r="C47" s="1927"/>
      <c r="D47" s="2016"/>
      <c r="E47" s="2048"/>
      <c r="F47" s="2017"/>
      <c r="G47" s="2018"/>
      <c r="H47" s="1932"/>
      <c r="I47" s="1925"/>
      <c r="J47" s="1924"/>
      <c r="O47" s="1167"/>
      <c r="P47" s="1168"/>
      <c r="Q47" s="1169"/>
      <c r="R47" s="1722">
        <v>1239480</v>
      </c>
      <c r="S47" s="1169"/>
    </row>
    <row r="48" spans="1:19">
      <c r="A48" s="951" t="s">
        <v>577</v>
      </c>
      <c r="B48" s="1979">
        <v>5020544.0200000005</v>
      </c>
      <c r="C48" s="952" t="s">
        <v>1244</v>
      </c>
      <c r="D48" s="950"/>
      <c r="E48" s="950"/>
      <c r="F48" s="950"/>
      <c r="G48" s="950"/>
      <c r="H48" s="1928"/>
      <c r="I48" s="948"/>
      <c r="J48" s="945" t="s">
        <v>1398</v>
      </c>
      <c r="L48" s="475"/>
      <c r="M48" s="475"/>
      <c r="R48" s="475"/>
    </row>
    <row r="49" spans="1:18">
      <c r="A49" s="954"/>
      <c r="C49" s="950" t="s">
        <v>1245</v>
      </c>
      <c r="D49" s="950"/>
      <c r="E49" s="950"/>
      <c r="F49" s="950"/>
      <c r="G49" s="950"/>
      <c r="H49" s="944"/>
      <c r="I49" s="946"/>
      <c r="J49" s="944" t="s">
        <v>1397</v>
      </c>
      <c r="R49" s="475"/>
    </row>
    <row r="50" spans="1:18">
      <c r="A50" s="944"/>
      <c r="B50" s="953"/>
      <c r="C50" s="950" t="s">
        <v>1246</v>
      </c>
      <c r="D50" s="950"/>
      <c r="E50" s="950"/>
      <c r="F50" s="950"/>
      <c r="G50" s="950"/>
      <c r="H50" s="944"/>
      <c r="I50" s="946"/>
      <c r="J50" s="944" t="s">
        <v>1396</v>
      </c>
    </row>
    <row r="51" spans="1:18">
      <c r="A51" s="944"/>
      <c r="B51" s="953"/>
      <c r="C51" s="950" t="s">
        <v>1247</v>
      </c>
      <c r="D51" s="950"/>
      <c r="E51" s="950"/>
      <c r="F51" s="950"/>
      <c r="G51" s="950"/>
      <c r="H51" s="944"/>
      <c r="I51" s="946"/>
      <c r="J51" s="944" t="s">
        <v>1395</v>
      </c>
    </row>
    <row r="52" spans="1:18">
      <c r="A52" s="944"/>
      <c r="B52" s="953"/>
      <c r="C52" s="950" t="s">
        <v>1248</v>
      </c>
      <c r="D52" s="950"/>
      <c r="E52" s="950"/>
      <c r="F52" s="950"/>
      <c r="G52" s="950"/>
      <c r="H52" s="944"/>
      <c r="I52" s="946"/>
      <c r="J52" s="944" t="s">
        <v>1394</v>
      </c>
    </row>
    <row r="53" spans="1:18">
      <c r="A53" s="944"/>
      <c r="B53" s="953"/>
      <c r="C53" s="950" t="s">
        <v>1249</v>
      </c>
      <c r="D53" s="950"/>
      <c r="E53" s="950"/>
      <c r="F53" s="950"/>
      <c r="G53" s="950"/>
      <c r="H53" s="944"/>
      <c r="I53" s="946"/>
      <c r="J53" s="944" t="s">
        <v>1393</v>
      </c>
    </row>
    <row r="54" spans="1:18">
      <c r="A54" s="944"/>
      <c r="B54" s="953"/>
      <c r="C54" s="950" t="s">
        <v>1251</v>
      </c>
      <c r="D54" s="950"/>
      <c r="E54" s="950"/>
      <c r="F54" s="950"/>
      <c r="G54" s="950"/>
      <c r="H54" s="944"/>
      <c r="I54" s="946"/>
      <c r="J54" s="944" t="s">
        <v>1392</v>
      </c>
    </row>
    <row r="55" spans="1:18">
      <c r="A55" s="944"/>
      <c r="B55" s="953"/>
      <c r="C55" s="950" t="s">
        <v>1254</v>
      </c>
      <c r="D55" s="950"/>
      <c r="E55" s="950"/>
      <c r="F55" s="950"/>
      <c r="G55" s="950"/>
      <c r="H55" s="944"/>
      <c r="I55" s="946"/>
      <c r="J55" s="944" t="s">
        <v>1391</v>
      </c>
    </row>
    <row r="56" spans="1:18">
      <c r="A56" s="944"/>
      <c r="B56" s="953"/>
      <c r="C56" s="950" t="s">
        <v>1258</v>
      </c>
      <c r="D56" s="950"/>
      <c r="E56" s="950"/>
      <c r="F56" s="950"/>
      <c r="G56" s="950"/>
      <c r="H56" s="944"/>
      <c r="I56" s="946"/>
      <c r="J56" s="944" t="s">
        <v>1390</v>
      </c>
    </row>
    <row r="57" spans="1:18">
      <c r="A57" s="944"/>
      <c r="B57" s="953"/>
      <c r="C57" s="950" t="s">
        <v>1262</v>
      </c>
      <c r="D57" s="950"/>
      <c r="E57" s="950"/>
      <c r="F57" s="950"/>
      <c r="G57" s="950"/>
      <c r="H57" s="944"/>
      <c r="I57" s="946"/>
      <c r="J57" s="944" t="s">
        <v>1389</v>
      </c>
    </row>
    <row r="58" spans="1:18">
      <c r="A58" s="944"/>
      <c r="B58" s="953"/>
      <c r="C58" s="950" t="s">
        <v>1263</v>
      </c>
      <c r="D58" s="950"/>
      <c r="E58" s="950"/>
      <c r="F58" s="950"/>
      <c r="G58" s="950"/>
      <c r="H58" s="944"/>
      <c r="I58" s="946"/>
      <c r="J58" s="944" t="s">
        <v>1388</v>
      </c>
    </row>
    <row r="59" spans="1:18">
      <c r="A59" s="944"/>
      <c r="B59" s="953"/>
      <c r="C59" s="950" t="s">
        <v>1265</v>
      </c>
      <c r="D59" s="950"/>
      <c r="E59" s="950"/>
      <c r="F59" s="950"/>
      <c r="G59" s="950"/>
      <c r="H59" s="944"/>
      <c r="I59" s="946"/>
      <c r="J59" s="944" t="s">
        <v>1387</v>
      </c>
    </row>
    <row r="60" spans="1:18">
      <c r="A60" s="944"/>
      <c r="B60" s="953"/>
      <c r="C60" s="950" t="s">
        <v>1266</v>
      </c>
      <c r="D60" s="950"/>
      <c r="E60" s="950"/>
      <c r="F60" s="950"/>
      <c r="G60" s="950"/>
      <c r="H60" s="944"/>
      <c r="I60" s="946"/>
      <c r="J60" s="944" t="s">
        <v>1386</v>
      </c>
    </row>
    <row r="61" spans="1:18">
      <c r="A61" s="944"/>
      <c r="B61" s="953"/>
      <c r="C61" s="950" t="s">
        <v>1269</v>
      </c>
      <c r="D61" s="950"/>
      <c r="E61" s="950"/>
      <c r="F61" s="950"/>
      <c r="G61" s="950"/>
      <c r="H61" s="944"/>
      <c r="I61" s="946"/>
      <c r="J61" s="944" t="s">
        <v>1385</v>
      </c>
    </row>
    <row r="62" spans="1:18">
      <c r="A62" s="944"/>
      <c r="B62" s="953"/>
      <c r="C62" s="950" t="s">
        <v>1273</v>
      </c>
      <c r="D62" s="950"/>
      <c r="E62" s="950"/>
      <c r="F62" s="950"/>
      <c r="G62" s="950"/>
      <c r="H62" s="944"/>
      <c r="I62" s="946"/>
      <c r="J62" s="944" t="s">
        <v>1384</v>
      </c>
    </row>
    <row r="63" spans="1:18">
      <c r="A63" s="944"/>
      <c r="B63" s="953"/>
      <c r="C63" s="950" t="s">
        <v>1276</v>
      </c>
      <c r="D63" s="950"/>
      <c r="E63" s="950"/>
      <c r="F63" s="950"/>
      <c r="G63" s="950"/>
      <c r="H63" s="944"/>
      <c r="I63" s="946"/>
      <c r="J63" s="944" t="s">
        <v>1383</v>
      </c>
    </row>
    <row r="64" spans="1:18">
      <c r="A64" s="944"/>
      <c r="B64" s="953"/>
      <c r="C64" s="950" t="s">
        <v>1277</v>
      </c>
      <c r="D64" s="950"/>
      <c r="E64" s="950"/>
      <c r="F64" s="950"/>
      <c r="G64" s="950"/>
      <c r="H64" s="944"/>
      <c r="I64" s="946"/>
      <c r="J64" s="944" t="s">
        <v>1382</v>
      </c>
    </row>
    <row r="65" spans="1:12">
      <c r="A65" s="944"/>
      <c r="B65" s="953"/>
      <c r="C65" s="950" t="s">
        <v>1279</v>
      </c>
      <c r="D65" s="950"/>
      <c r="E65" s="950"/>
      <c r="F65" s="950"/>
      <c r="G65" s="950"/>
      <c r="H65" s="944"/>
      <c r="I65" s="946"/>
      <c r="J65" s="944" t="s">
        <v>1381</v>
      </c>
    </row>
    <row r="66" spans="1:12">
      <c r="A66" s="944"/>
      <c r="B66" s="953"/>
      <c r="C66" s="950" t="s">
        <v>1280</v>
      </c>
      <c r="D66" s="950"/>
      <c r="E66" s="950"/>
      <c r="F66" s="950"/>
      <c r="G66" s="950"/>
      <c r="H66" s="944"/>
      <c r="I66" s="946"/>
      <c r="J66" s="944" t="s">
        <v>1380</v>
      </c>
    </row>
    <row r="67" spans="1:12">
      <c r="A67" s="944"/>
      <c r="B67" s="953"/>
      <c r="C67" s="950" t="s">
        <v>1285</v>
      </c>
      <c r="D67" s="950"/>
      <c r="E67" s="950"/>
      <c r="F67" s="950"/>
      <c r="G67" s="950"/>
      <c r="H67" s="944"/>
      <c r="I67" s="946"/>
      <c r="J67" s="944" t="s">
        <v>1379</v>
      </c>
    </row>
    <row r="68" spans="1:12">
      <c r="A68" s="944"/>
      <c r="B68" s="953"/>
      <c r="C68" s="950" t="s">
        <v>1289</v>
      </c>
      <c r="D68" s="950"/>
      <c r="E68" s="950"/>
      <c r="F68" s="950"/>
      <c r="G68" s="950"/>
      <c r="H68" s="944"/>
      <c r="I68" s="946"/>
      <c r="J68" s="944" t="s">
        <v>1378</v>
      </c>
    </row>
    <row r="69" spans="1:12">
      <c r="A69" s="944"/>
      <c r="B69" s="953"/>
      <c r="C69" s="950" t="s">
        <v>1295</v>
      </c>
      <c r="D69" s="950"/>
      <c r="E69" s="950"/>
      <c r="F69" s="950"/>
      <c r="G69" s="950"/>
      <c r="H69" s="944"/>
      <c r="I69" s="946"/>
      <c r="J69" s="944" t="s">
        <v>1377</v>
      </c>
      <c r="K69" s="475" t="s">
        <v>1721</v>
      </c>
      <c r="L69" t="s">
        <v>1720</v>
      </c>
    </row>
    <row r="70" spans="1:12">
      <c r="A70" s="944"/>
      <c r="B70" s="953"/>
      <c r="C70" s="950" t="s">
        <v>1296</v>
      </c>
      <c r="D70" s="950"/>
      <c r="E70" s="950"/>
      <c r="F70" s="950"/>
      <c r="G70" s="950"/>
      <c r="H70" s="944"/>
      <c r="I70" s="946"/>
      <c r="J70" s="944" t="s">
        <v>1376</v>
      </c>
    </row>
    <row r="71" spans="1:12">
      <c r="A71" s="944"/>
      <c r="B71" s="953"/>
      <c r="C71" s="950" t="s">
        <v>1300</v>
      </c>
      <c r="D71" s="950"/>
      <c r="E71" s="950"/>
      <c r="F71" s="950"/>
      <c r="G71" s="950"/>
      <c r="H71" s="944"/>
      <c r="I71" s="946"/>
      <c r="J71" s="944" t="s">
        <v>1375</v>
      </c>
    </row>
    <row r="72" spans="1:12">
      <c r="A72" s="944"/>
      <c r="B72" s="953"/>
      <c r="C72" s="950" t="s">
        <v>1374</v>
      </c>
      <c r="D72" s="950"/>
      <c r="E72" s="950"/>
      <c r="F72" s="950"/>
      <c r="G72" s="950"/>
      <c r="H72" s="944"/>
      <c r="I72" s="946"/>
      <c r="J72" s="944" t="s">
        <v>1373</v>
      </c>
    </row>
    <row r="73" spans="1:12">
      <c r="A73" s="944"/>
      <c r="B73" s="953"/>
      <c r="C73" s="950" t="s">
        <v>1517</v>
      </c>
      <c r="D73" s="950"/>
      <c r="E73" s="950"/>
      <c r="F73" s="950"/>
      <c r="G73" s="950"/>
      <c r="H73" s="944"/>
      <c r="I73" s="946"/>
      <c r="J73" s="944" t="s">
        <v>1719</v>
      </c>
    </row>
    <row r="74" spans="1:12">
      <c r="A74" s="944"/>
      <c r="B74" s="953"/>
      <c r="C74" s="950" t="s">
        <v>1372</v>
      </c>
      <c r="D74" s="950"/>
      <c r="E74" s="950"/>
      <c r="F74" s="950"/>
      <c r="G74" s="950"/>
      <c r="H74" s="944"/>
      <c r="I74" s="946"/>
      <c r="J74" s="944" t="s">
        <v>1371</v>
      </c>
      <c r="K74" s="748"/>
    </row>
    <row r="75" spans="1:12">
      <c r="A75" s="944"/>
      <c r="B75" s="953"/>
      <c r="C75" s="950"/>
      <c r="D75" s="950"/>
      <c r="E75" s="950"/>
      <c r="F75" s="950"/>
      <c r="G75" s="950"/>
      <c r="H75" s="944"/>
      <c r="I75" s="946"/>
      <c r="J75" s="944"/>
      <c r="K75" s="748"/>
    </row>
    <row r="76" spans="1:12">
      <c r="A76" s="944"/>
      <c r="B76" s="953"/>
      <c r="C76" s="950"/>
      <c r="D76" s="950"/>
      <c r="E76" s="950"/>
      <c r="F76" s="950"/>
      <c r="G76" s="950"/>
      <c r="H76" s="944"/>
      <c r="I76" s="946"/>
      <c r="J76" s="944"/>
      <c r="K76" s="748"/>
    </row>
    <row r="77" spans="1:12">
      <c r="A77" s="944"/>
      <c r="B77" s="953"/>
      <c r="C77" s="950"/>
      <c r="D77" s="950"/>
      <c r="E77" s="950"/>
      <c r="F77" s="950"/>
      <c r="G77" s="950"/>
      <c r="H77" s="944"/>
      <c r="I77" s="946"/>
      <c r="J77" s="944"/>
      <c r="K77" s="748"/>
    </row>
    <row r="78" spans="1:12">
      <c r="A78" s="944"/>
      <c r="B78" s="953"/>
      <c r="C78" s="950"/>
      <c r="D78" s="950"/>
      <c r="E78" s="950"/>
      <c r="F78" s="950"/>
      <c r="G78" s="950"/>
      <c r="H78" s="944"/>
      <c r="I78" s="946"/>
      <c r="J78" s="944"/>
      <c r="K78" s="748"/>
    </row>
    <row r="79" spans="1:12">
      <c r="A79" s="944"/>
      <c r="B79" s="953"/>
      <c r="C79" s="950"/>
      <c r="D79" s="950"/>
      <c r="E79" s="950"/>
      <c r="F79" s="950"/>
      <c r="G79" s="950"/>
      <c r="H79" s="944"/>
      <c r="I79" s="946"/>
      <c r="J79" s="944"/>
      <c r="K79" s="748"/>
    </row>
    <row r="80" spans="1:12">
      <c r="A80" s="944"/>
      <c r="B80" s="953"/>
      <c r="C80" s="950"/>
      <c r="D80" s="950"/>
      <c r="E80" s="950"/>
      <c r="F80" s="950"/>
      <c r="G80" s="950"/>
      <c r="H80" s="944"/>
      <c r="I80" s="946"/>
      <c r="J80" s="944"/>
      <c r="K80" s="748"/>
    </row>
    <row r="81" spans="1:11">
      <c r="A81" s="944"/>
      <c r="B81" s="953"/>
      <c r="C81" s="950"/>
      <c r="D81" s="950"/>
      <c r="E81" s="950"/>
      <c r="F81" s="950"/>
      <c r="G81" s="950"/>
      <c r="H81" s="944"/>
      <c r="I81" s="946"/>
      <c r="J81" s="944"/>
      <c r="K81" s="748"/>
    </row>
    <row r="82" spans="1:11">
      <c r="A82" s="944"/>
      <c r="B82" s="953"/>
      <c r="C82" s="950"/>
      <c r="D82" s="950"/>
      <c r="E82" s="950"/>
      <c r="F82" s="950"/>
      <c r="G82" s="950"/>
      <c r="H82" s="944"/>
      <c r="I82" s="946"/>
      <c r="J82" s="944"/>
      <c r="K82" s="748"/>
    </row>
    <row r="83" spans="1:11">
      <c r="A83" s="944"/>
      <c r="B83" s="953"/>
      <c r="C83" s="950"/>
      <c r="D83" s="950"/>
      <c r="E83" s="950"/>
      <c r="F83" s="950"/>
      <c r="G83" s="950"/>
      <c r="H83" s="944"/>
      <c r="I83" s="946"/>
      <c r="J83" s="944"/>
      <c r="K83" s="748"/>
    </row>
    <row r="84" spans="1:11">
      <c r="A84" s="944"/>
      <c r="B84" s="953"/>
      <c r="C84" s="950"/>
      <c r="D84" s="950"/>
      <c r="E84" s="950"/>
      <c r="F84" s="950"/>
      <c r="G84" s="950"/>
      <c r="H84" s="944"/>
      <c r="I84" s="946"/>
      <c r="J84" s="944"/>
      <c r="K84" s="748"/>
    </row>
    <row r="85" spans="1:11">
      <c r="A85" s="944"/>
      <c r="B85" s="953"/>
      <c r="C85" s="950"/>
      <c r="D85" s="950"/>
      <c r="E85" s="950"/>
      <c r="F85" s="950"/>
      <c r="G85" s="950"/>
      <c r="H85" s="944"/>
      <c r="I85" s="946"/>
      <c r="J85" s="944"/>
      <c r="K85" s="748"/>
    </row>
    <row r="86" spans="1:11">
      <c r="A86" s="944"/>
      <c r="B86" s="953"/>
      <c r="C86" s="950"/>
      <c r="D86" s="950"/>
      <c r="E86" s="950"/>
      <c r="F86" s="950"/>
      <c r="G86" s="950"/>
      <c r="H86" s="944"/>
      <c r="I86" s="946"/>
      <c r="J86" s="944"/>
      <c r="K86" s="748"/>
    </row>
    <row r="87" spans="1:11">
      <c r="A87" s="944"/>
      <c r="B87" s="953"/>
      <c r="C87" s="950"/>
      <c r="D87" s="950"/>
      <c r="E87" s="950"/>
      <c r="F87" s="950"/>
      <c r="G87" s="950"/>
      <c r="H87" s="944"/>
      <c r="I87" s="946"/>
      <c r="J87" s="944"/>
      <c r="K87" s="748"/>
    </row>
    <row r="88" spans="1:11">
      <c r="A88" s="944"/>
      <c r="B88" s="953"/>
      <c r="C88" s="950"/>
      <c r="D88" s="950"/>
      <c r="E88" s="950"/>
      <c r="F88" s="950"/>
      <c r="G88" s="950"/>
      <c r="H88" s="944"/>
      <c r="I88" s="946"/>
      <c r="J88" s="944"/>
      <c r="K88" s="748"/>
    </row>
    <row r="89" spans="1:11">
      <c r="A89" s="944"/>
      <c r="B89" s="953"/>
      <c r="C89" s="950"/>
      <c r="D89" s="950"/>
      <c r="E89" s="950"/>
      <c r="F89" s="950"/>
      <c r="G89" s="950"/>
      <c r="H89" s="944"/>
      <c r="I89" s="946"/>
      <c r="J89" s="944"/>
      <c r="K89" s="748"/>
    </row>
    <row r="90" spans="1:11">
      <c r="A90" s="1170" t="s">
        <v>1370</v>
      </c>
      <c r="B90" s="1171">
        <v>0</v>
      </c>
      <c r="C90" s="1172" t="s">
        <v>1369</v>
      </c>
      <c r="D90" s="1172"/>
      <c r="E90" s="1172"/>
      <c r="F90" s="1172"/>
      <c r="G90" s="1172"/>
      <c r="H90" s="1173"/>
      <c r="I90" s="1174"/>
      <c r="J90" s="945" t="s">
        <v>578</v>
      </c>
    </row>
    <row r="91" spans="1:11">
      <c r="A91" s="1170" t="s">
        <v>582</v>
      </c>
      <c r="B91" s="1982">
        <v>50000</v>
      </c>
      <c r="C91" s="1172" t="s">
        <v>1061</v>
      </c>
      <c r="D91" s="1900"/>
      <c r="E91" s="1900"/>
      <c r="F91" s="1900"/>
      <c r="G91" s="1900"/>
      <c r="H91" s="1175">
        <v>0</v>
      </c>
      <c r="I91" s="1176">
        <v>50000</v>
      </c>
      <c r="J91" s="1173" t="s">
        <v>582</v>
      </c>
    </row>
    <row r="92" spans="1:11">
      <c r="A92" s="1177" t="s">
        <v>1367</v>
      </c>
      <c r="B92" s="953">
        <v>0</v>
      </c>
      <c r="C92" s="950" t="s">
        <v>1368</v>
      </c>
      <c r="D92" s="950"/>
      <c r="E92" s="950"/>
      <c r="F92" s="950"/>
      <c r="G92" s="950"/>
      <c r="H92" s="954"/>
      <c r="I92" s="946">
        <v>0</v>
      </c>
      <c r="J92" s="944" t="s">
        <v>1367</v>
      </c>
    </row>
    <row r="93" spans="1:11">
      <c r="A93" s="1178" t="s">
        <v>584</v>
      </c>
      <c r="B93" s="949"/>
      <c r="C93" s="1179"/>
      <c r="D93" s="1179"/>
      <c r="E93" s="1179"/>
      <c r="F93" s="1179"/>
      <c r="G93" s="1179"/>
      <c r="H93" s="945"/>
      <c r="I93" s="1180"/>
      <c r="J93" s="1181"/>
      <c r="K93" s="748"/>
    </row>
    <row r="94" spans="1:11">
      <c r="A94" s="1120"/>
      <c r="B94" s="1983">
        <v>1412605.31</v>
      </c>
      <c r="C94" s="1182" t="s">
        <v>1519</v>
      </c>
      <c r="D94" s="1182"/>
      <c r="E94" s="1182"/>
      <c r="F94" s="1182"/>
      <c r="G94" s="1182"/>
      <c r="H94" s="944"/>
      <c r="I94" s="1183">
        <v>1412605.31</v>
      </c>
      <c r="J94" s="1184" t="s">
        <v>1520</v>
      </c>
    </row>
    <row r="95" spans="1:11">
      <c r="A95" s="1178" t="s">
        <v>1363</v>
      </c>
      <c r="B95" s="1728">
        <v>85000</v>
      </c>
      <c r="C95" s="1179" t="s">
        <v>1521</v>
      </c>
      <c r="D95" s="1179"/>
      <c r="E95" s="1179"/>
      <c r="F95" s="1179"/>
      <c r="G95" s="1179"/>
      <c r="H95" s="945"/>
      <c r="I95" s="1180"/>
      <c r="J95" s="1181" t="s">
        <v>1522</v>
      </c>
    </row>
    <row r="96" spans="1:11">
      <c r="A96" s="1120"/>
      <c r="B96" s="1729">
        <v>300000</v>
      </c>
      <c r="C96" s="1182" t="s">
        <v>1360</v>
      </c>
      <c r="D96" s="1182"/>
      <c r="E96" s="1182"/>
      <c r="F96" s="1182"/>
      <c r="G96" s="1182"/>
      <c r="H96" s="944"/>
      <c r="I96" s="1183"/>
      <c r="J96" s="1184" t="s">
        <v>1523</v>
      </c>
      <c r="K96" s="1234"/>
    </row>
    <row r="97" spans="1:14">
      <c r="A97" s="1120"/>
      <c r="B97" s="1729">
        <v>100000</v>
      </c>
      <c r="C97" s="1182" t="s">
        <v>1524</v>
      </c>
      <c r="D97" s="1182"/>
      <c r="E97" s="1182"/>
      <c r="F97" s="1182"/>
      <c r="G97" s="1182"/>
      <c r="H97" s="944"/>
      <c r="I97" s="1183"/>
      <c r="J97" s="1184" t="s">
        <v>1718</v>
      </c>
      <c r="K97" s="1234"/>
      <c r="M97" s="1719"/>
      <c r="N97" s="1719"/>
    </row>
    <row r="98" spans="1:14">
      <c r="A98" s="1120"/>
      <c r="B98" s="1729">
        <v>300000</v>
      </c>
      <c r="C98" s="1182" t="s">
        <v>1526</v>
      </c>
      <c r="D98" s="1182"/>
      <c r="E98" s="1182"/>
      <c r="F98" s="1182"/>
      <c r="G98" s="1182"/>
      <c r="H98" s="944"/>
      <c r="I98" s="1183"/>
      <c r="J98" s="1184" t="s">
        <v>1527</v>
      </c>
    </row>
    <row r="99" spans="1:14">
      <c r="A99" s="1986">
        <v>785000</v>
      </c>
      <c r="B99" s="1729">
        <v>0</v>
      </c>
      <c r="C99" s="1182" t="s">
        <v>1362</v>
      </c>
      <c r="D99" s="1182"/>
      <c r="E99" s="1182"/>
      <c r="F99" s="1182"/>
      <c r="G99" s="1182"/>
      <c r="H99" s="944"/>
      <c r="I99" s="1183">
        <v>0</v>
      </c>
      <c r="J99" s="1184"/>
      <c r="K99" s="748">
        <v>785000</v>
      </c>
    </row>
    <row r="100" spans="1:14">
      <c r="A100" s="1178" t="s">
        <v>586</v>
      </c>
      <c r="B100" s="949">
        <v>50000</v>
      </c>
      <c r="C100" s="1179" t="s">
        <v>1358</v>
      </c>
      <c r="D100" s="1179" t="s">
        <v>1934</v>
      </c>
      <c r="E100" s="1179"/>
      <c r="F100" s="1179"/>
      <c r="G100" s="1179"/>
      <c r="H100" s="945"/>
      <c r="I100" s="1180">
        <v>50000</v>
      </c>
      <c r="J100" s="1181" t="s">
        <v>1529</v>
      </c>
      <c r="K100" s="475" t="s">
        <v>1775</v>
      </c>
    </row>
    <row r="101" spans="1:14">
      <c r="A101" s="1185"/>
      <c r="B101" s="953">
        <v>162000</v>
      </c>
      <c r="C101" s="1182" t="s">
        <v>1356</v>
      </c>
      <c r="D101" s="1179" t="s">
        <v>1934</v>
      </c>
      <c r="E101" s="1182"/>
      <c r="F101" s="1182"/>
      <c r="G101" s="1182"/>
      <c r="H101" s="944"/>
      <c r="I101" s="1183">
        <v>162000</v>
      </c>
      <c r="J101" s="1184" t="s">
        <v>1355</v>
      </c>
      <c r="K101" s="475" t="s">
        <v>1776</v>
      </c>
    </row>
    <row r="102" spans="1:14">
      <c r="A102" s="1185"/>
      <c r="B102" s="953">
        <v>50000</v>
      </c>
      <c r="C102" s="1182" t="s">
        <v>1354</v>
      </c>
      <c r="D102" s="1179" t="s">
        <v>1934</v>
      </c>
      <c r="E102" s="1182"/>
      <c r="F102" s="1182"/>
      <c r="G102" s="1182"/>
      <c r="H102" s="944"/>
      <c r="I102" s="1183">
        <v>50000</v>
      </c>
      <c r="J102" s="1184" t="s">
        <v>1353</v>
      </c>
      <c r="K102" s="475" t="s">
        <v>1777</v>
      </c>
    </row>
    <row r="103" spans="1:14">
      <c r="A103" s="1185"/>
      <c r="B103" s="953">
        <v>35000</v>
      </c>
      <c r="C103" s="1182" t="s">
        <v>1717</v>
      </c>
      <c r="D103" s="1179" t="s">
        <v>1934</v>
      </c>
      <c r="E103" s="1182"/>
      <c r="F103" s="1182"/>
      <c r="G103" s="1182"/>
      <c r="H103" s="944"/>
      <c r="I103" s="1183">
        <v>35000</v>
      </c>
      <c r="J103" s="1184" t="s">
        <v>1716</v>
      </c>
      <c r="K103" s="475" t="s">
        <v>1727</v>
      </c>
    </row>
    <row r="104" spans="1:14">
      <c r="A104" s="1185"/>
      <c r="B104" s="953">
        <v>0</v>
      </c>
      <c r="C104" s="1182" t="s">
        <v>1715</v>
      </c>
      <c r="D104" s="1182"/>
      <c r="E104" s="1182"/>
      <c r="F104" s="1182"/>
      <c r="G104" s="1182"/>
      <c r="H104" s="944"/>
      <c r="I104" s="1183">
        <v>0</v>
      </c>
      <c r="J104" s="1184" t="s">
        <v>1714</v>
      </c>
      <c r="K104" s="475" t="s">
        <v>1734</v>
      </c>
    </row>
    <row r="105" spans="1:14">
      <c r="A105" s="1987">
        <v>577000</v>
      </c>
      <c r="B105" s="1125">
        <v>280000</v>
      </c>
      <c r="C105" s="1186" t="s">
        <v>1352</v>
      </c>
      <c r="D105" s="1186" t="s">
        <v>1935</v>
      </c>
      <c r="E105" s="1186"/>
      <c r="F105" s="1186"/>
      <c r="G105" s="1186"/>
      <c r="H105" s="1187"/>
      <c r="I105" s="1188">
        <v>280000</v>
      </c>
      <c r="J105" s="1189" t="s">
        <v>1728</v>
      </c>
      <c r="K105" s="748" t="s">
        <v>1778</v>
      </c>
    </row>
    <row r="106" spans="1:14">
      <c r="A106" s="1190" t="s">
        <v>1350</v>
      </c>
      <c r="B106" s="1720">
        <v>2286215.7905000001</v>
      </c>
      <c r="C106" s="950" t="s">
        <v>1349</v>
      </c>
      <c r="D106" s="950"/>
      <c r="E106" s="950"/>
      <c r="F106" s="950"/>
      <c r="G106" s="950"/>
      <c r="H106" s="944"/>
      <c r="I106" s="954">
        <v>50000</v>
      </c>
      <c r="J106" s="1184" t="s">
        <v>1348</v>
      </c>
    </row>
    <row r="107" spans="1:14">
      <c r="A107" s="1177"/>
      <c r="B107" s="953"/>
      <c r="C107" s="1182" t="s">
        <v>1345</v>
      </c>
      <c r="D107" s="1182"/>
      <c r="E107" s="1182"/>
      <c r="F107" s="1182"/>
      <c r="G107" s="1182"/>
      <c r="H107" s="1185"/>
      <c r="I107" s="1119">
        <v>405000</v>
      </c>
      <c r="J107" s="944" t="s">
        <v>1344</v>
      </c>
      <c r="K107" s="475" t="s">
        <v>1779</v>
      </c>
    </row>
    <row r="108" spans="1:14">
      <c r="A108" s="1178" t="s">
        <v>1332</v>
      </c>
      <c r="B108" s="949"/>
      <c r="C108" s="1179" t="s">
        <v>1343</v>
      </c>
      <c r="D108" s="1179"/>
      <c r="E108" s="1179"/>
      <c r="F108" s="1179"/>
      <c r="G108" s="1179"/>
      <c r="H108" s="945"/>
      <c r="I108" s="1180">
        <v>5000</v>
      </c>
      <c r="J108" s="1181" t="s">
        <v>1342</v>
      </c>
    </row>
    <row r="109" spans="1:14">
      <c r="A109" s="475"/>
      <c r="B109" s="1191"/>
      <c r="C109" s="950" t="s">
        <v>1341</v>
      </c>
      <c r="D109" s="950"/>
      <c r="E109" s="950"/>
      <c r="F109" s="950"/>
      <c r="G109" s="950"/>
      <c r="H109" s="944"/>
      <c r="I109" s="954">
        <v>20000</v>
      </c>
      <c r="J109" s="944" t="s">
        <v>1332</v>
      </c>
    </row>
    <row r="110" spans="1:14">
      <c r="A110" s="944"/>
      <c r="B110" s="953"/>
      <c r="C110" s="950" t="s">
        <v>1340</v>
      </c>
      <c r="D110" s="950"/>
      <c r="E110" s="950"/>
      <c r="F110" s="950"/>
      <c r="G110" s="950"/>
      <c r="H110" s="944"/>
      <c r="I110" s="946">
        <v>400000</v>
      </c>
      <c r="J110" s="944" t="s">
        <v>1332</v>
      </c>
    </row>
    <row r="111" spans="1:14">
      <c r="A111" s="944"/>
      <c r="B111" s="953"/>
      <c r="C111" s="950" t="s">
        <v>1339</v>
      </c>
      <c r="D111" s="950"/>
      <c r="E111" s="950"/>
      <c r="F111" s="950"/>
      <c r="G111" s="950"/>
      <c r="H111" s="944"/>
      <c r="I111" s="946">
        <v>8000</v>
      </c>
      <c r="J111" s="944" t="s">
        <v>1332</v>
      </c>
    </row>
    <row r="112" spans="1:14">
      <c r="A112" s="944"/>
      <c r="B112" s="953"/>
      <c r="C112" s="950" t="s">
        <v>1338</v>
      </c>
      <c r="D112" s="950"/>
      <c r="E112" s="950"/>
      <c r="F112" s="950"/>
      <c r="G112" s="950"/>
      <c r="H112" s="944"/>
      <c r="I112" s="946">
        <v>10000</v>
      </c>
      <c r="J112" s="944" t="s">
        <v>1332</v>
      </c>
    </row>
    <row r="113" spans="1:12">
      <c r="A113" s="954"/>
      <c r="B113" s="953"/>
      <c r="C113" s="950" t="s">
        <v>1337</v>
      </c>
      <c r="D113" s="950"/>
      <c r="E113" s="950"/>
      <c r="F113" s="950"/>
      <c r="G113" s="950"/>
      <c r="H113" s="944"/>
      <c r="I113" s="946">
        <v>2500</v>
      </c>
      <c r="J113" s="944" t="s">
        <v>1332</v>
      </c>
    </row>
    <row r="114" spans="1:12">
      <c r="A114" s="954"/>
      <c r="B114" s="953"/>
      <c r="C114" s="950" t="s">
        <v>1336</v>
      </c>
      <c r="D114" s="950"/>
      <c r="E114" s="950"/>
      <c r="F114" s="950"/>
      <c r="G114" s="950"/>
      <c r="H114" s="944"/>
      <c r="I114" s="946">
        <v>1350000</v>
      </c>
      <c r="J114" s="944" t="s">
        <v>1332</v>
      </c>
    </row>
    <row r="115" spans="1:12">
      <c r="A115" s="954"/>
      <c r="B115" s="953"/>
      <c r="C115" s="950" t="s">
        <v>1713</v>
      </c>
      <c r="D115" s="950"/>
      <c r="E115" s="950"/>
      <c r="F115" s="950"/>
      <c r="G115" s="950"/>
      <c r="H115" s="944"/>
      <c r="I115" s="946">
        <v>10000</v>
      </c>
      <c r="J115" s="944" t="s">
        <v>1332</v>
      </c>
    </row>
    <row r="116" spans="1:12">
      <c r="A116" s="954"/>
      <c r="B116" s="953"/>
      <c r="C116" s="950" t="s">
        <v>1712</v>
      </c>
      <c r="D116" s="950"/>
      <c r="E116" s="950"/>
      <c r="F116" s="950"/>
      <c r="G116" s="950"/>
      <c r="H116" s="944"/>
      <c r="I116" s="946">
        <v>35000</v>
      </c>
      <c r="J116" s="944" t="s">
        <v>1332</v>
      </c>
    </row>
    <row r="117" spans="1:12">
      <c r="A117" s="1192"/>
      <c r="C117" s="1182" t="s">
        <v>1335</v>
      </c>
      <c r="D117" s="1182"/>
      <c r="E117" s="1182"/>
      <c r="F117" s="1182"/>
      <c r="G117" s="1182"/>
      <c r="H117" s="1193"/>
      <c r="I117" s="1120">
        <v>20000</v>
      </c>
      <c r="J117" s="944" t="s">
        <v>1332</v>
      </c>
    </row>
    <row r="118" spans="1:12">
      <c r="A118" s="954"/>
      <c r="B118" s="953"/>
      <c r="C118" s="950" t="s">
        <v>1334</v>
      </c>
      <c r="D118" s="1182"/>
      <c r="E118" s="1182"/>
      <c r="F118" s="1182"/>
      <c r="G118" s="1182"/>
      <c r="H118" s="1120"/>
      <c r="I118" s="954">
        <v>5000</v>
      </c>
      <c r="J118" s="944" t="s">
        <v>1332</v>
      </c>
    </row>
    <row r="119" spans="1:12">
      <c r="A119" s="1194"/>
      <c r="B119" s="1195"/>
      <c r="C119" s="950" t="s">
        <v>1333</v>
      </c>
      <c r="D119" s="1182"/>
      <c r="E119" s="1182"/>
      <c r="F119" s="1182"/>
      <c r="G119" s="1182"/>
      <c r="H119" s="1195"/>
      <c r="I119" s="954">
        <v>128109</v>
      </c>
      <c r="J119" s="944" t="s">
        <v>1332</v>
      </c>
    </row>
    <row r="120" spans="1:12">
      <c r="A120" s="951" t="s">
        <v>1327</v>
      </c>
      <c r="B120" s="949"/>
      <c r="C120" s="952" t="s">
        <v>1331</v>
      </c>
      <c r="D120" s="1901"/>
      <c r="E120" s="1901"/>
      <c r="F120" s="1901"/>
      <c r="G120" s="1901"/>
      <c r="H120" s="1196"/>
      <c r="I120" s="1165">
        <v>0</v>
      </c>
      <c r="J120" s="945" t="s">
        <v>1327</v>
      </c>
    </row>
    <row r="121" spans="1:12">
      <c r="A121" s="944"/>
      <c r="B121" s="953"/>
      <c r="C121" s="950" t="s">
        <v>1330</v>
      </c>
      <c r="D121" s="1902"/>
      <c r="E121" s="1902"/>
      <c r="F121" s="1902"/>
      <c r="G121" s="1902"/>
      <c r="H121" s="475"/>
      <c r="I121" s="954">
        <v>0</v>
      </c>
      <c r="J121" s="945" t="s">
        <v>1327</v>
      </c>
      <c r="K121" s="475" t="s">
        <v>1530</v>
      </c>
    </row>
    <row r="122" spans="1:12" ht="13.5" thickBot="1">
      <c r="A122" s="1197" t="s">
        <v>590</v>
      </c>
      <c r="B122" s="1988">
        <v>74263</v>
      </c>
      <c r="C122" s="1198" t="s">
        <v>1326</v>
      </c>
      <c r="D122" s="1198"/>
      <c r="E122" s="1198"/>
      <c r="F122" s="1198"/>
      <c r="G122" s="1198"/>
      <c r="H122" s="1199"/>
      <c r="I122" s="1200">
        <v>74263</v>
      </c>
      <c r="J122" s="1199"/>
    </row>
    <row r="123" spans="1:12">
      <c r="A123" s="1201" t="s">
        <v>1325</v>
      </c>
      <c r="B123" s="1122">
        <v>11844075.017242001</v>
      </c>
      <c r="C123" s="1202"/>
      <c r="D123" s="1202"/>
      <c r="E123" s="1202"/>
      <c r="F123" s="1202"/>
      <c r="G123" s="1202"/>
      <c r="H123" s="1122">
        <v>126821.41499999999</v>
      </c>
      <c r="I123" s="1122">
        <v>6074102.7917419998</v>
      </c>
      <c r="J123" s="1203"/>
    </row>
    <row r="124" spans="1:12">
      <c r="H124" s="475"/>
    </row>
    <row r="125" spans="1:12" ht="13.5" thickBot="1">
      <c r="H125" s="475"/>
    </row>
    <row r="126" spans="1:12" ht="13.5" thickBot="1">
      <c r="A126" s="1204" t="s">
        <v>834</v>
      </c>
      <c r="B126" s="1711">
        <v>866156.8</v>
      </c>
      <c r="C126" s="1205" t="s">
        <v>1791</v>
      </c>
      <c r="D126" s="1206"/>
      <c r="E126" s="1206"/>
      <c r="F126" s="1206"/>
      <c r="G126" s="1206"/>
      <c r="H126" s="1206"/>
      <c r="I126" s="1207">
        <v>100000</v>
      </c>
      <c r="J126" s="1205" t="s">
        <v>1792</v>
      </c>
      <c r="K126" s="475" t="s">
        <v>1790</v>
      </c>
      <c r="L126" s="1895" t="s">
        <v>1780</v>
      </c>
    </row>
    <row r="127" spans="1:12" ht="13.5" thickBot="1">
      <c r="A127" s="1208"/>
      <c r="B127" s="1897"/>
      <c r="C127" s="1205" t="s">
        <v>1793</v>
      </c>
      <c r="D127" s="1210"/>
      <c r="E127" s="1210"/>
      <c r="F127" s="1210"/>
      <c r="G127" s="1210"/>
      <c r="H127" s="1210"/>
      <c r="I127" s="1898">
        <v>400000</v>
      </c>
      <c r="J127" s="1209" t="s">
        <v>621</v>
      </c>
      <c r="L127" s="1895"/>
    </row>
    <row r="128" spans="1:12">
      <c r="A128" s="1208"/>
      <c r="B128" s="1897"/>
      <c r="C128" s="1205" t="s">
        <v>1794</v>
      </c>
      <c r="D128" s="1210"/>
      <c r="E128" s="1210"/>
      <c r="F128" s="1210"/>
      <c r="G128" s="1210"/>
      <c r="H128" s="1210"/>
      <c r="I128" s="1898">
        <v>170000</v>
      </c>
      <c r="J128" s="1209" t="s">
        <v>829</v>
      </c>
      <c r="L128" s="1895"/>
    </row>
    <row r="129" spans="1:12">
      <c r="A129" s="1208"/>
      <c r="B129" s="1712"/>
      <c r="C129" s="1209" t="s">
        <v>1785</v>
      </c>
      <c r="D129" s="1210"/>
      <c r="E129" s="1210"/>
      <c r="F129" s="1210"/>
      <c r="G129" s="1210"/>
      <c r="H129" s="1210"/>
      <c r="I129" s="1211">
        <v>68000</v>
      </c>
      <c r="J129" s="1209" t="s">
        <v>1782</v>
      </c>
      <c r="K129" s="475" t="s">
        <v>1781</v>
      </c>
      <c r="L129" s="1895" t="s">
        <v>1780</v>
      </c>
    </row>
    <row r="130" spans="1:12">
      <c r="A130" s="1208"/>
      <c r="B130" s="1712"/>
      <c r="C130" s="1209" t="s">
        <v>1784</v>
      </c>
      <c r="D130" s="1210"/>
      <c r="E130" s="1210"/>
      <c r="F130" s="1210"/>
      <c r="G130" s="1210"/>
      <c r="H130" s="1210"/>
      <c r="I130" s="1211">
        <v>34000</v>
      </c>
      <c r="J130" s="1209" t="s">
        <v>1783</v>
      </c>
      <c r="L130" s="1895"/>
    </row>
    <row r="131" spans="1:12" ht="13.5" thickBot="1">
      <c r="A131" s="1212"/>
      <c r="B131" s="1713"/>
      <c r="C131" s="1213" t="s">
        <v>839</v>
      </c>
      <c r="D131" s="1214"/>
      <c r="E131" s="1214"/>
      <c r="F131" s="1214"/>
      <c r="G131" s="1214"/>
      <c r="H131" s="1214"/>
      <c r="I131" s="1215">
        <v>94156.800000000003</v>
      </c>
      <c r="J131" s="1213" t="s">
        <v>840</v>
      </c>
      <c r="K131" s="475" t="s">
        <v>1786</v>
      </c>
      <c r="L131" s="1895" t="s">
        <v>1780</v>
      </c>
    </row>
    <row r="132" spans="1:12">
      <c r="A132" s="1208" t="s">
        <v>841</v>
      </c>
      <c r="B132" s="1714">
        <v>26480</v>
      </c>
      <c r="C132" s="1209" t="s">
        <v>1134</v>
      </c>
      <c r="D132" s="1210"/>
      <c r="E132" s="1210"/>
      <c r="F132" s="1210"/>
      <c r="G132" s="1210"/>
      <c r="H132" s="1210"/>
      <c r="I132" s="1211">
        <v>10000</v>
      </c>
      <c r="J132" s="1209" t="s">
        <v>845</v>
      </c>
      <c r="K132" s="475" t="s">
        <v>1787</v>
      </c>
      <c r="L132" s="1895" t="s">
        <v>1780</v>
      </c>
    </row>
    <row r="133" spans="1:12">
      <c r="A133" s="1209"/>
      <c r="B133" s="1712"/>
      <c r="C133" s="1209" t="s">
        <v>1135</v>
      </c>
      <c r="D133" s="1895"/>
      <c r="E133" s="1895"/>
      <c r="F133" s="1895"/>
      <c r="G133" s="1895"/>
      <c r="H133" s="1216"/>
      <c r="I133" s="1217">
        <v>0</v>
      </c>
      <c r="J133" s="1210" t="s">
        <v>845</v>
      </c>
      <c r="L133" s="1895" t="s">
        <v>1780</v>
      </c>
    </row>
    <row r="134" spans="1:12">
      <c r="A134" s="1209"/>
      <c r="B134" s="1712"/>
      <c r="C134" s="1209" t="s">
        <v>1457</v>
      </c>
      <c r="D134" s="1210"/>
      <c r="E134" s="1210"/>
      <c r="F134" s="1210"/>
      <c r="G134" s="1210"/>
      <c r="H134" s="1218">
        <v>0</v>
      </c>
      <c r="I134" s="1219">
        <v>0</v>
      </c>
      <c r="J134" s="1209" t="s">
        <v>845</v>
      </c>
      <c r="L134" s="1895" t="s">
        <v>1780</v>
      </c>
    </row>
    <row r="135" spans="1:12">
      <c r="A135" s="1209"/>
      <c r="B135" s="1712"/>
      <c r="C135" s="1209" t="s">
        <v>1458</v>
      </c>
      <c r="D135" s="1210"/>
      <c r="E135" s="1210"/>
      <c r="F135" s="1210"/>
      <c r="G135" s="1210"/>
      <c r="H135" s="1218">
        <v>0</v>
      </c>
      <c r="I135" s="1219">
        <v>0</v>
      </c>
      <c r="J135" s="1209" t="s">
        <v>845</v>
      </c>
      <c r="L135" s="1895" t="s">
        <v>1780</v>
      </c>
    </row>
    <row r="136" spans="1:12" ht="13.5" thickBot="1">
      <c r="A136" s="1213"/>
      <c r="B136" s="1713"/>
      <c r="C136" s="1213" t="s">
        <v>1459</v>
      </c>
      <c r="D136" s="1214"/>
      <c r="E136" s="1214"/>
      <c r="F136" s="1214"/>
      <c r="G136" s="1214"/>
      <c r="H136" s="1214"/>
      <c r="I136" s="1896">
        <v>16480</v>
      </c>
      <c r="J136" s="1213" t="s">
        <v>1460</v>
      </c>
      <c r="L136" s="1895" t="s">
        <v>1780</v>
      </c>
    </row>
    <row r="137" spans="1:12">
      <c r="A137" s="1208" t="s">
        <v>852</v>
      </c>
      <c r="B137" s="1714">
        <v>260500</v>
      </c>
      <c r="C137" s="1209" t="s">
        <v>853</v>
      </c>
      <c r="D137" s="1210"/>
      <c r="E137" s="1210"/>
      <c r="F137" s="1210"/>
      <c r="G137" s="1210"/>
      <c r="H137" s="1210"/>
      <c r="I137" s="1211">
        <v>20000</v>
      </c>
      <c r="J137" s="1209" t="s">
        <v>854</v>
      </c>
      <c r="K137" s="475" t="s">
        <v>621</v>
      </c>
      <c r="L137" s="1895" t="s">
        <v>1780</v>
      </c>
    </row>
    <row r="138" spans="1:12">
      <c r="A138" s="1209"/>
      <c r="B138" s="1712"/>
      <c r="C138" s="1209" t="s">
        <v>1531</v>
      </c>
      <c r="D138" s="1210"/>
      <c r="E138" s="1210"/>
      <c r="F138" s="1210"/>
      <c r="G138" s="1210"/>
      <c r="H138" s="1210"/>
      <c r="I138" s="1218">
        <v>150000</v>
      </c>
      <c r="J138" s="1210" t="s">
        <v>1144</v>
      </c>
      <c r="K138" s="475" t="s">
        <v>1788</v>
      </c>
      <c r="L138" s="1895" t="s">
        <v>1780</v>
      </c>
    </row>
    <row r="139" spans="1:12">
      <c r="A139" s="1221"/>
      <c r="B139" s="1715"/>
      <c r="C139" s="1209" t="s">
        <v>1462</v>
      </c>
      <c r="D139" s="1210"/>
      <c r="E139" s="1210"/>
      <c r="F139" s="1210"/>
      <c r="G139" s="1210"/>
      <c r="H139" s="1210"/>
      <c r="I139" s="1211">
        <v>20500</v>
      </c>
      <c r="J139" s="1209" t="s">
        <v>860</v>
      </c>
      <c r="K139" s="475" t="s">
        <v>829</v>
      </c>
      <c r="L139" s="1895" t="s">
        <v>1780</v>
      </c>
    </row>
    <row r="140" spans="1:12">
      <c r="A140" s="1221"/>
      <c r="B140" s="1715"/>
      <c r="C140" s="1209" t="s">
        <v>1143</v>
      </c>
      <c r="D140" s="1210"/>
      <c r="E140" s="1210"/>
      <c r="F140" s="1210"/>
      <c r="G140" s="1210"/>
      <c r="H140" s="1210"/>
      <c r="I140" s="1211">
        <v>70000</v>
      </c>
      <c r="J140" s="1209" t="s">
        <v>856</v>
      </c>
      <c r="K140" s="475" t="s">
        <v>1789</v>
      </c>
      <c r="L140" s="1895" t="s">
        <v>1780</v>
      </c>
    </row>
    <row r="141" spans="1:12" ht="13.5" thickBot="1">
      <c r="A141" s="1222"/>
      <c r="B141" s="1716"/>
      <c r="C141" s="1213" t="s">
        <v>1463</v>
      </c>
      <c r="D141" s="1214"/>
      <c r="E141" s="1214"/>
      <c r="F141" s="1214"/>
      <c r="G141" s="1214"/>
      <c r="H141" s="1214"/>
      <c r="I141" s="1223">
        <v>0</v>
      </c>
      <c r="J141" s="1213" t="s">
        <v>331</v>
      </c>
      <c r="L141" s="1895" t="s">
        <v>1780</v>
      </c>
    </row>
    <row r="142" spans="1:12">
      <c r="B142" s="1717">
        <v>1153136.8</v>
      </c>
      <c r="H142" s="475"/>
    </row>
    <row r="144" spans="1:12" ht="13.5" thickBot="1">
      <c r="A144" t="s">
        <v>1922</v>
      </c>
      <c r="E144" s="1" t="s">
        <v>169</v>
      </c>
      <c r="F144" s="1" t="s">
        <v>1814</v>
      </c>
      <c r="G144" s="1" t="s">
        <v>1815</v>
      </c>
      <c r="H144" s="1" t="s">
        <v>1816</v>
      </c>
    </row>
    <row r="145" spans="1:20">
      <c r="A145" s="832"/>
      <c r="B145" s="2028">
        <v>30000</v>
      </c>
      <c r="C145" s="832" t="s">
        <v>1873</v>
      </c>
      <c r="D145" s="832"/>
      <c r="E145" s="1999">
        <v>10000</v>
      </c>
      <c r="F145" s="2000">
        <v>1001</v>
      </c>
      <c r="G145" s="2001"/>
      <c r="H145" s="2001"/>
      <c r="I145" s="1296"/>
      <c r="J145" s="75" t="s">
        <v>1874</v>
      </c>
      <c r="K145" s="1234" t="s">
        <v>1875</v>
      </c>
      <c r="L145" s="1234"/>
      <c r="M145" s="1234" t="s">
        <v>1886</v>
      </c>
      <c r="N145" s="1234"/>
      <c r="O145" s="1234" t="s">
        <v>1887</v>
      </c>
      <c r="P145" s="1234"/>
    </row>
    <row r="146" spans="1:20">
      <c r="A146" s="76"/>
      <c r="B146" s="1276"/>
      <c r="C146" s="76"/>
      <c r="D146" s="76"/>
      <c r="E146" s="76"/>
      <c r="F146" s="876"/>
      <c r="G146" s="79"/>
      <c r="H146" s="79"/>
      <c r="I146" s="1297"/>
      <c r="J146" s="79"/>
    </row>
    <row r="147" spans="1:20">
      <c r="A147" s="76"/>
      <c r="B147" s="1276"/>
      <c r="C147" s="76"/>
      <c r="D147" s="76"/>
      <c r="E147" s="76"/>
      <c r="F147" s="876"/>
      <c r="G147" s="79"/>
      <c r="H147" s="79"/>
      <c r="I147" s="1297"/>
      <c r="J147" s="79"/>
      <c r="K147" s="2024" t="s">
        <v>1912</v>
      </c>
      <c r="L147" s="2024"/>
      <c r="M147" s="2024"/>
      <c r="N147" s="2024"/>
      <c r="O147" s="2024"/>
      <c r="P147" s="2024"/>
      <c r="Q147" s="2024"/>
      <c r="R147" s="2024"/>
      <c r="S147" s="2024"/>
      <c r="T147" s="2024"/>
    </row>
    <row r="148" spans="1:20">
      <c r="A148" s="76"/>
      <c r="B148" s="1276"/>
      <c r="C148" s="76"/>
      <c r="D148" s="76"/>
      <c r="E148" s="76"/>
      <c r="F148" s="876"/>
      <c r="G148" s="79"/>
      <c r="H148" s="79"/>
      <c r="I148" s="1297"/>
      <c r="J148" s="79"/>
    </row>
    <row r="149" spans="1:20">
      <c r="A149" s="76"/>
      <c r="B149" s="1276"/>
      <c r="C149" s="76"/>
      <c r="D149" s="76"/>
      <c r="E149" s="76"/>
      <c r="F149" s="876"/>
      <c r="G149" s="79"/>
      <c r="H149" s="79"/>
      <c r="I149" s="1297"/>
      <c r="J149" s="79"/>
    </row>
    <row r="150" spans="1:20" ht="13.5" thickBot="1">
      <c r="A150" s="91"/>
      <c r="B150" s="1290"/>
      <c r="C150" s="91"/>
      <c r="D150" s="91"/>
      <c r="E150" s="91"/>
      <c r="F150" s="1998"/>
      <c r="G150" s="83"/>
      <c r="H150" s="83"/>
      <c r="I150" s="1292"/>
      <c r="J150" s="83"/>
    </row>
    <row r="151" spans="1:20">
      <c r="B151" s="2027">
        <v>30000</v>
      </c>
      <c r="C151" t="s">
        <v>1876</v>
      </c>
    </row>
    <row r="157" spans="1:20">
      <c r="A157" s="2026" t="s">
        <v>1921</v>
      </c>
    </row>
    <row r="158" spans="1:20">
      <c r="A158" t="s">
        <v>1914</v>
      </c>
    </row>
    <row r="159" spans="1:20">
      <c r="A159" t="s">
        <v>1915</v>
      </c>
    </row>
    <row r="161" spans="1:1">
      <c r="A161" t="s">
        <v>1916</v>
      </c>
    </row>
    <row r="162" spans="1:1">
      <c r="A162" t="s">
        <v>1917</v>
      </c>
    </row>
    <row r="163" spans="1:1">
      <c r="A163" t="s">
        <v>1918</v>
      </c>
    </row>
    <row r="164" spans="1:1">
      <c r="A164" t="s">
        <v>1919</v>
      </c>
    </row>
    <row r="166" spans="1:1">
      <c r="A166" t="s">
        <v>1920</v>
      </c>
    </row>
  </sheetData>
  <sortState ref="A22:V47">
    <sortCondition ref="E22:E47"/>
  </sortState>
  <pageMargins left="0.25" right="0.25" top="0.75" bottom="0.5" header="0.3" footer="0.3"/>
  <pageSetup scale="91" fitToHeight="2"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L102"/>
  <sheetViews>
    <sheetView workbookViewId="0"/>
  </sheetViews>
  <sheetFormatPr defaultColWidth="9.140625" defaultRowHeight="12.75"/>
  <cols>
    <col min="1" max="1" width="26" style="1078" bestFit="1" customWidth="1"/>
    <col min="2" max="2" width="11.7109375" style="1078" bestFit="1" customWidth="1"/>
    <col min="3" max="3" width="21.42578125" style="1078" bestFit="1" customWidth="1"/>
    <col min="4" max="4" width="11.7109375" style="1078" bestFit="1" customWidth="1"/>
    <col min="5" max="5" width="10.85546875" style="1078" bestFit="1" customWidth="1"/>
    <col min="6" max="6" width="26.85546875" style="1078" bestFit="1" customWidth="1"/>
    <col min="7" max="7" width="9.140625" style="1078"/>
    <col min="8" max="8" width="17.42578125" style="1078" bestFit="1" customWidth="1"/>
    <col min="9" max="9" width="10" style="1078" bestFit="1" customWidth="1"/>
    <col min="10" max="10" width="19.28515625" style="1078" bestFit="1" customWidth="1"/>
    <col min="11" max="11" width="10" style="1078" bestFit="1" customWidth="1"/>
    <col min="12" max="12" width="27.140625" style="1078" bestFit="1" customWidth="1"/>
    <col min="13" max="16384" width="9.140625" style="1078"/>
  </cols>
  <sheetData>
    <row r="1" spans="1:12" s="1113" customFormat="1">
      <c r="A1" s="1114" t="s">
        <v>1411</v>
      </c>
      <c r="H1" s="1115" t="s">
        <v>780</v>
      </c>
      <c r="I1" s="949">
        <f>SUM(K1:K32)</f>
        <v>2228670</v>
      </c>
      <c r="J1" s="1116" t="s">
        <v>1412</v>
      </c>
      <c r="K1" s="1117">
        <v>0</v>
      </c>
      <c r="L1" s="1116" t="s">
        <v>1413</v>
      </c>
    </row>
    <row r="2" spans="1:12">
      <c r="A2" s="961" t="s">
        <v>576</v>
      </c>
      <c r="B2" s="1112">
        <f>SUM(D2:D26)+SUM(E2:E26)</f>
        <v>3416438.27</v>
      </c>
      <c r="C2" s="962" t="s">
        <v>753</v>
      </c>
      <c r="D2" s="971"/>
      <c r="E2" s="959">
        <v>315000</v>
      </c>
      <c r="F2" s="970" t="s">
        <v>754</v>
      </c>
      <c r="H2" s="1118"/>
      <c r="I2" s="953"/>
      <c r="J2" s="751" t="s">
        <v>1414</v>
      </c>
      <c r="K2" s="1119">
        <v>675000</v>
      </c>
      <c r="L2" s="751" t="s">
        <v>1415</v>
      </c>
    </row>
    <row r="3" spans="1:12">
      <c r="A3" s="972"/>
      <c r="B3" s="975"/>
      <c r="C3" s="960" t="s">
        <v>755</v>
      </c>
      <c r="D3" s="973"/>
      <c r="E3" s="958">
        <v>28500</v>
      </c>
      <c r="F3" s="972" t="s">
        <v>756</v>
      </c>
      <c r="H3" s="751"/>
      <c r="I3" s="953"/>
      <c r="J3" s="751" t="s">
        <v>1067</v>
      </c>
      <c r="K3" s="1120">
        <v>52000</v>
      </c>
      <c r="L3" s="751" t="s">
        <v>1068</v>
      </c>
    </row>
    <row r="4" spans="1:12">
      <c r="A4" s="972"/>
      <c r="B4" s="975"/>
      <c r="C4" s="960" t="s">
        <v>1471</v>
      </c>
      <c r="D4" s="973"/>
      <c r="E4" s="958">
        <f>+Misc!B281</f>
        <v>3000</v>
      </c>
      <c r="F4" s="972" t="s">
        <v>1475</v>
      </c>
      <c r="H4" s="751"/>
      <c r="I4" s="953"/>
      <c r="J4" s="751" t="s">
        <v>1069</v>
      </c>
      <c r="K4" s="1120">
        <v>30000</v>
      </c>
      <c r="L4" s="751" t="s">
        <v>1070</v>
      </c>
    </row>
    <row r="5" spans="1:12">
      <c r="A5" s="972"/>
      <c r="B5" s="975"/>
      <c r="C5" s="960" t="s">
        <v>761</v>
      </c>
      <c r="D5" s="973"/>
      <c r="E5" s="958">
        <v>0</v>
      </c>
      <c r="F5" s="972" t="s">
        <v>762</v>
      </c>
      <c r="H5" s="1121"/>
      <c r="I5" s="953"/>
      <c r="J5" s="751" t="s">
        <v>1071</v>
      </c>
      <c r="K5" s="1120">
        <v>75000</v>
      </c>
      <c r="L5" s="751" t="s">
        <v>1072</v>
      </c>
    </row>
    <row r="6" spans="1:12">
      <c r="A6" s="972"/>
      <c r="B6" s="975"/>
      <c r="C6" s="960" t="s">
        <v>765</v>
      </c>
      <c r="D6" s="973"/>
      <c r="E6" s="958">
        <v>0</v>
      </c>
      <c r="F6" s="972" t="s">
        <v>766</v>
      </c>
      <c r="H6" s="751"/>
      <c r="I6" s="1122"/>
      <c r="J6" s="751" t="s">
        <v>1073</v>
      </c>
      <c r="K6" s="1120">
        <v>200000</v>
      </c>
      <c r="L6" s="751" t="s">
        <v>1074</v>
      </c>
    </row>
    <row r="7" spans="1:12">
      <c r="A7" s="972"/>
      <c r="B7" s="975"/>
      <c r="C7" s="960" t="s">
        <v>772</v>
      </c>
      <c r="D7" s="973"/>
      <c r="E7" s="958">
        <v>10000</v>
      </c>
      <c r="F7" s="972" t="s">
        <v>773</v>
      </c>
      <c r="H7" s="751"/>
      <c r="I7" s="953"/>
      <c r="J7" s="751" t="s">
        <v>1075</v>
      </c>
      <c r="K7" s="1120">
        <v>750000</v>
      </c>
      <c r="L7" s="751" t="s">
        <v>1076</v>
      </c>
    </row>
    <row r="8" spans="1:12">
      <c r="A8" s="972"/>
      <c r="B8" s="975"/>
      <c r="C8" s="960" t="s">
        <v>1410</v>
      </c>
      <c r="D8" s="973"/>
      <c r="E8" s="958">
        <v>25000</v>
      </c>
      <c r="F8" s="972" t="s">
        <v>1125</v>
      </c>
      <c r="H8" s="751"/>
      <c r="I8" s="953"/>
      <c r="J8" s="751" t="s">
        <v>1416</v>
      </c>
      <c r="K8" s="1120">
        <v>75000</v>
      </c>
      <c r="L8" s="751" t="s">
        <v>1417</v>
      </c>
    </row>
    <row r="9" spans="1:12">
      <c r="A9" s="972"/>
      <c r="B9" s="975"/>
      <c r="C9" s="960" t="s">
        <v>1409</v>
      </c>
      <c r="D9" s="973"/>
      <c r="E9" s="958">
        <v>35000</v>
      </c>
      <c r="F9" s="972" t="s">
        <v>1127</v>
      </c>
      <c r="H9" s="751"/>
      <c r="I9" s="953"/>
      <c r="J9" s="751" t="s">
        <v>1418</v>
      </c>
      <c r="K9" s="1120">
        <v>10000</v>
      </c>
      <c r="L9" s="751" t="s">
        <v>1419</v>
      </c>
    </row>
    <row r="10" spans="1:12">
      <c r="A10" s="972"/>
      <c r="B10" s="975"/>
      <c r="C10" s="960" t="s">
        <v>1042</v>
      </c>
      <c r="D10" s="973"/>
      <c r="E10" s="958">
        <v>134550</v>
      </c>
      <c r="F10" s="972" t="s">
        <v>1408</v>
      </c>
      <c r="H10" s="751"/>
      <c r="I10" s="953"/>
      <c r="J10" s="751" t="s">
        <v>1420</v>
      </c>
      <c r="K10" s="1120">
        <v>1800</v>
      </c>
      <c r="L10" s="751" t="s">
        <v>1421</v>
      </c>
    </row>
    <row r="11" spans="1:12">
      <c r="A11" s="972"/>
      <c r="B11" s="975"/>
      <c r="C11" s="960" t="s">
        <v>769</v>
      </c>
      <c r="D11" s="973"/>
      <c r="E11" s="958">
        <f>103000-19500</f>
        <v>83500</v>
      </c>
      <c r="F11" s="972" t="s">
        <v>770</v>
      </c>
      <c r="H11" s="751"/>
      <c r="I11" s="953"/>
      <c r="J11" s="751" t="s">
        <v>1422</v>
      </c>
      <c r="K11" s="1120">
        <v>1450</v>
      </c>
      <c r="L11" s="751" t="s">
        <v>1423</v>
      </c>
    </row>
    <row r="12" spans="1:12">
      <c r="A12" s="972"/>
      <c r="B12" s="975"/>
      <c r="C12" s="960" t="s">
        <v>771</v>
      </c>
      <c r="D12" s="973"/>
      <c r="E12" s="958">
        <v>450000</v>
      </c>
      <c r="F12" s="972" t="s">
        <v>72</v>
      </c>
      <c r="H12" s="751"/>
      <c r="I12" s="953"/>
      <c r="J12" s="751" t="s">
        <v>1424</v>
      </c>
      <c r="K12" s="1120">
        <v>200</v>
      </c>
      <c r="L12" s="751" t="s">
        <v>1425</v>
      </c>
    </row>
    <row r="13" spans="1:12">
      <c r="A13" s="972"/>
      <c r="B13" s="975"/>
      <c r="C13" s="960" t="s">
        <v>1407</v>
      </c>
      <c r="D13" s="973"/>
      <c r="E13" s="958">
        <v>0</v>
      </c>
      <c r="F13" s="972" t="s">
        <v>1406</v>
      </c>
      <c r="H13" s="751"/>
      <c r="I13" s="953"/>
      <c r="J13" s="751" t="s">
        <v>1426</v>
      </c>
      <c r="K13" s="1120">
        <v>3000</v>
      </c>
      <c r="L13" s="751" t="s">
        <v>1427</v>
      </c>
    </row>
    <row r="14" spans="1:12">
      <c r="A14" s="972"/>
      <c r="B14" s="975"/>
      <c r="C14" s="1150" t="s">
        <v>1476</v>
      </c>
      <c r="D14" s="1151"/>
      <c r="E14" s="1152">
        <v>1000000</v>
      </c>
      <c r="F14" s="1153" t="s">
        <v>1477</v>
      </c>
      <c r="H14" s="751"/>
      <c r="I14" s="953"/>
      <c r="J14" s="751" t="s">
        <v>1428</v>
      </c>
      <c r="K14" s="1120">
        <v>3500</v>
      </c>
      <c r="L14" s="751" t="s">
        <v>1429</v>
      </c>
    </row>
    <row r="15" spans="1:12">
      <c r="A15" s="972"/>
      <c r="B15" s="975"/>
      <c r="C15" s="960" t="s">
        <v>774</v>
      </c>
      <c r="D15" s="973"/>
      <c r="E15" s="958">
        <v>20000</v>
      </c>
      <c r="F15" s="972" t="s">
        <v>775</v>
      </c>
      <c r="H15" s="751"/>
      <c r="I15" s="953"/>
      <c r="J15" s="751" t="s">
        <v>1430</v>
      </c>
      <c r="K15" s="1120">
        <v>5000</v>
      </c>
      <c r="L15" s="751" t="s">
        <v>1431</v>
      </c>
    </row>
    <row r="16" spans="1:12">
      <c r="A16" s="972"/>
      <c r="B16" s="975"/>
      <c r="C16" s="960" t="s">
        <v>1132</v>
      </c>
      <c r="D16" s="973"/>
      <c r="E16" s="958">
        <v>110000</v>
      </c>
      <c r="F16" s="972" t="s">
        <v>301</v>
      </c>
      <c r="H16" s="751"/>
      <c r="I16" s="953"/>
      <c r="J16" s="751" t="s">
        <v>1080</v>
      </c>
      <c r="K16" s="1120">
        <v>42000</v>
      </c>
      <c r="L16" s="751" t="s">
        <v>1078</v>
      </c>
    </row>
    <row r="17" spans="1:12">
      <c r="A17" s="972"/>
      <c r="B17" s="975"/>
      <c r="C17" s="960" t="s">
        <v>777</v>
      </c>
      <c r="D17" s="973"/>
      <c r="E17" s="958">
        <v>33800</v>
      </c>
      <c r="F17" s="972" t="s">
        <v>778</v>
      </c>
      <c r="H17" s="751"/>
      <c r="I17" s="953"/>
      <c r="J17" s="751" t="s">
        <v>1077</v>
      </c>
      <c r="K17" s="1120">
        <v>25000</v>
      </c>
      <c r="L17" s="751" t="s">
        <v>1078</v>
      </c>
    </row>
    <row r="18" spans="1:12">
      <c r="A18" s="972"/>
      <c r="B18" s="975"/>
      <c r="C18" s="960" t="s">
        <v>1050</v>
      </c>
      <c r="D18" s="973"/>
      <c r="E18" s="1111">
        <f>+K2</f>
        <v>675000</v>
      </c>
      <c r="F18" s="972" t="s">
        <v>1051</v>
      </c>
      <c r="H18" s="751"/>
      <c r="I18" s="953"/>
      <c r="J18" s="751" t="s">
        <v>1079</v>
      </c>
      <c r="K18" s="1120">
        <v>38000</v>
      </c>
      <c r="L18" s="751" t="s">
        <v>1078</v>
      </c>
    </row>
    <row r="19" spans="1:12">
      <c r="A19" s="972"/>
      <c r="B19" s="975"/>
      <c r="C19" s="960" t="s">
        <v>779</v>
      </c>
      <c r="D19" s="973"/>
      <c r="E19" s="958">
        <v>150000</v>
      </c>
      <c r="F19" s="972" t="s">
        <v>780</v>
      </c>
      <c r="H19" s="751"/>
      <c r="I19" s="953"/>
      <c r="J19" s="751" t="s">
        <v>1432</v>
      </c>
      <c r="K19" s="1120">
        <v>0</v>
      </c>
      <c r="L19" s="751" t="s">
        <v>1433</v>
      </c>
    </row>
    <row r="20" spans="1:12">
      <c r="A20" s="972"/>
      <c r="B20" s="975"/>
      <c r="C20" s="960" t="s">
        <v>781</v>
      </c>
      <c r="D20" s="973"/>
      <c r="E20" s="958">
        <v>10000</v>
      </c>
      <c r="F20" s="972" t="s">
        <v>782</v>
      </c>
      <c r="H20" s="751"/>
      <c r="I20" s="953"/>
      <c r="J20" s="751" t="s">
        <v>1434</v>
      </c>
      <c r="K20" s="1120">
        <v>0</v>
      </c>
      <c r="L20" s="751" t="s">
        <v>1433</v>
      </c>
    </row>
    <row r="21" spans="1:12">
      <c r="A21" s="972"/>
      <c r="B21" s="975"/>
      <c r="C21" s="960" t="s">
        <v>783</v>
      </c>
      <c r="D21" s="973"/>
      <c r="E21" s="958">
        <v>68000</v>
      </c>
      <c r="F21" s="972" t="s">
        <v>784</v>
      </c>
      <c r="H21" s="751"/>
      <c r="I21" s="953"/>
      <c r="J21" s="751" t="s">
        <v>1435</v>
      </c>
      <c r="K21" s="1120">
        <v>300</v>
      </c>
      <c r="L21" s="751" t="s">
        <v>1436</v>
      </c>
    </row>
    <row r="22" spans="1:12">
      <c r="A22" s="972"/>
      <c r="B22" s="975"/>
      <c r="C22" s="960" t="s">
        <v>785</v>
      </c>
      <c r="D22" s="973"/>
      <c r="E22" s="958">
        <v>12000</v>
      </c>
      <c r="F22" s="972" t="s">
        <v>786</v>
      </c>
      <c r="H22" s="751"/>
      <c r="I22" s="953"/>
      <c r="J22" s="751" t="s">
        <v>1437</v>
      </c>
      <c r="K22" s="1120">
        <v>120</v>
      </c>
      <c r="L22" s="751" t="s">
        <v>1436</v>
      </c>
    </row>
    <row r="23" spans="1:12">
      <c r="A23" s="972"/>
      <c r="B23" s="975"/>
      <c r="C23" s="960" t="s">
        <v>1405</v>
      </c>
      <c r="D23" s="973"/>
      <c r="E23" s="958">
        <v>25000</v>
      </c>
      <c r="F23" s="972" t="s">
        <v>788</v>
      </c>
      <c r="H23" s="751"/>
      <c r="I23" s="953"/>
      <c r="J23" s="751" t="s">
        <v>1438</v>
      </c>
      <c r="K23" s="1120">
        <v>800</v>
      </c>
      <c r="L23" s="751" t="s">
        <v>1436</v>
      </c>
    </row>
    <row r="24" spans="1:12">
      <c r="A24" s="972"/>
      <c r="B24" s="975"/>
      <c r="C24" s="960" t="s">
        <v>1404</v>
      </c>
      <c r="D24" s="973">
        <v>111415.7</v>
      </c>
      <c r="E24" s="958">
        <v>0</v>
      </c>
      <c r="F24" s="972" t="s">
        <v>1403</v>
      </c>
      <c r="H24" s="751"/>
      <c r="I24" s="953"/>
      <c r="J24" s="751" t="s">
        <v>1439</v>
      </c>
      <c r="K24" s="1120">
        <v>20500</v>
      </c>
      <c r="L24" s="751" t="s">
        <v>1440</v>
      </c>
    </row>
    <row r="25" spans="1:12">
      <c r="A25" s="972"/>
      <c r="B25" s="975"/>
      <c r="C25" s="960" t="s">
        <v>1402</v>
      </c>
      <c r="D25" s="973">
        <v>59479.89</v>
      </c>
      <c r="E25" s="958">
        <v>0</v>
      </c>
      <c r="F25" s="972" t="s">
        <v>1401</v>
      </c>
      <c r="H25" s="751"/>
      <c r="I25" s="953"/>
      <c r="J25" s="751" t="s">
        <v>1441</v>
      </c>
      <c r="K25" s="1120">
        <v>0</v>
      </c>
      <c r="L25" s="751" t="s">
        <v>1440</v>
      </c>
    </row>
    <row r="26" spans="1:12">
      <c r="A26" s="972"/>
      <c r="B26" s="975"/>
      <c r="C26" s="960" t="s">
        <v>1400</v>
      </c>
      <c r="D26" s="973">
        <v>57192.68</v>
      </c>
      <c r="E26" s="1110">
        <v>0</v>
      </c>
      <c r="F26" s="972" t="s">
        <v>1399</v>
      </c>
      <c r="H26" s="751"/>
      <c r="I26" s="953"/>
      <c r="J26" s="751" t="s">
        <v>1442</v>
      </c>
      <c r="K26" s="946">
        <v>150000</v>
      </c>
      <c r="L26" s="751" t="s">
        <v>1443</v>
      </c>
    </row>
    <row r="27" spans="1:12">
      <c r="A27" s="961" t="s">
        <v>577</v>
      </c>
      <c r="B27" s="974">
        <f>SUM(D27:E52)</f>
        <v>4733071.33</v>
      </c>
      <c r="C27" s="962" t="s">
        <v>1244</v>
      </c>
      <c r="D27" s="971">
        <v>216507.33000000002</v>
      </c>
      <c r="E27" s="959">
        <v>15750</v>
      </c>
      <c r="F27" s="970" t="s">
        <v>1398</v>
      </c>
      <c r="H27" s="751"/>
      <c r="I27" s="953"/>
      <c r="J27" s="751" t="s">
        <v>1444</v>
      </c>
      <c r="K27" s="1123">
        <v>0</v>
      </c>
      <c r="L27" s="751" t="s">
        <v>1443</v>
      </c>
    </row>
    <row r="28" spans="1:12">
      <c r="A28" s="973"/>
      <c r="B28" s="1087"/>
      <c r="C28" s="960" t="s">
        <v>1245</v>
      </c>
      <c r="D28" s="972"/>
      <c r="E28" s="958">
        <v>136000</v>
      </c>
      <c r="F28" s="972" t="s">
        <v>1397</v>
      </c>
      <c r="H28" s="751"/>
      <c r="I28" s="953"/>
      <c r="J28" s="751" t="s">
        <v>1445</v>
      </c>
      <c r="K28" s="1120">
        <v>70000</v>
      </c>
      <c r="L28" s="751" t="s">
        <v>1446</v>
      </c>
    </row>
    <row r="29" spans="1:12">
      <c r="A29" s="972"/>
      <c r="B29" s="975"/>
      <c r="C29" s="960" t="s">
        <v>1246</v>
      </c>
      <c r="D29" s="972"/>
      <c r="E29" s="958">
        <v>4350</v>
      </c>
      <c r="F29" s="972" t="s">
        <v>1396</v>
      </c>
      <c r="H29" s="751"/>
      <c r="I29" s="953"/>
      <c r="J29" s="751" t="s">
        <v>1447</v>
      </c>
      <c r="K29" s="1120">
        <v>0</v>
      </c>
      <c r="L29" s="751" t="s">
        <v>1446</v>
      </c>
    </row>
    <row r="30" spans="1:12">
      <c r="A30" s="972"/>
      <c r="B30" s="975"/>
      <c r="C30" s="960" t="s">
        <v>1247</v>
      </c>
      <c r="D30" s="972"/>
      <c r="E30" s="958">
        <v>300</v>
      </c>
      <c r="F30" s="972" t="s">
        <v>1395</v>
      </c>
      <c r="H30" s="751"/>
      <c r="I30" s="953"/>
      <c r="J30" s="751" t="s">
        <v>1448</v>
      </c>
      <c r="K30" s="1120">
        <v>0</v>
      </c>
      <c r="L30" s="751" t="s">
        <v>1449</v>
      </c>
    </row>
    <row r="31" spans="1:12">
      <c r="A31" s="972"/>
      <c r="B31" s="975"/>
      <c r="C31" s="960" t="s">
        <v>1248</v>
      </c>
      <c r="D31" s="972"/>
      <c r="E31" s="958">
        <v>720</v>
      </c>
      <c r="F31" s="972" t="s">
        <v>1394</v>
      </c>
      <c r="H31" s="751"/>
      <c r="I31" s="953"/>
      <c r="J31" s="751" t="s">
        <v>1450</v>
      </c>
      <c r="K31" s="1120">
        <v>0</v>
      </c>
      <c r="L31" s="751" t="s">
        <v>1451</v>
      </c>
    </row>
    <row r="32" spans="1:12">
      <c r="A32" s="972"/>
      <c r="B32" s="975"/>
      <c r="C32" s="960" t="s">
        <v>1249</v>
      </c>
      <c r="D32" s="972"/>
      <c r="E32" s="958">
        <v>801</v>
      </c>
      <c r="F32" s="972" t="s">
        <v>1393</v>
      </c>
      <c r="H32" s="751"/>
      <c r="I32" s="953"/>
      <c r="J32" s="751" t="s">
        <v>1452</v>
      </c>
      <c r="K32" s="1120">
        <v>0</v>
      </c>
      <c r="L32" s="751" t="s">
        <v>1453</v>
      </c>
    </row>
    <row r="33" spans="1:12">
      <c r="A33" s="972"/>
      <c r="B33" s="975"/>
      <c r="C33" s="960" t="s">
        <v>1251</v>
      </c>
      <c r="D33" s="972"/>
      <c r="E33" s="958">
        <v>276510</v>
      </c>
      <c r="F33" s="972" t="s">
        <v>1392</v>
      </c>
      <c r="H33" s="1124"/>
      <c r="I33" s="1125"/>
      <c r="J33" s="1124"/>
      <c r="K33" s="1126">
        <f>SUM(K1:K32)</f>
        <v>2228670</v>
      </c>
      <c r="L33" s="1124"/>
    </row>
    <row r="34" spans="1:12">
      <c r="A34" s="972"/>
      <c r="B34" s="975"/>
      <c r="C34" s="960" t="s">
        <v>1254</v>
      </c>
      <c r="D34" s="972"/>
      <c r="E34" s="958">
        <v>824600</v>
      </c>
      <c r="F34" s="972" t="s">
        <v>1391</v>
      </c>
    </row>
    <row r="35" spans="1:12">
      <c r="A35" s="972"/>
      <c r="B35" s="975"/>
      <c r="C35" s="960" t="s">
        <v>1258</v>
      </c>
      <c r="D35" s="972"/>
      <c r="E35" s="958">
        <v>294000</v>
      </c>
      <c r="F35" s="972" t="s">
        <v>1390</v>
      </c>
    </row>
    <row r="36" spans="1:12">
      <c r="A36" s="972"/>
      <c r="B36" s="975"/>
      <c r="C36" s="960" t="s">
        <v>1262</v>
      </c>
      <c r="D36" s="972"/>
      <c r="E36" s="958">
        <v>300</v>
      </c>
      <c r="F36" s="972" t="s">
        <v>1389</v>
      </c>
    </row>
    <row r="37" spans="1:12">
      <c r="A37" s="972"/>
      <c r="B37" s="975"/>
      <c r="C37" s="960" t="s">
        <v>1263</v>
      </c>
      <c r="D37" s="972"/>
      <c r="E37" s="958">
        <v>55250</v>
      </c>
      <c r="F37" s="972" t="s">
        <v>1388</v>
      </c>
    </row>
    <row r="38" spans="1:12">
      <c r="A38" s="972"/>
      <c r="B38" s="975"/>
      <c r="C38" s="960" t="s">
        <v>1265</v>
      </c>
      <c r="D38" s="972"/>
      <c r="E38" s="958">
        <v>12000</v>
      </c>
      <c r="F38" s="972" t="s">
        <v>1387</v>
      </c>
    </row>
    <row r="39" spans="1:12">
      <c r="A39" s="972"/>
      <c r="B39" s="975"/>
      <c r="C39" s="960" t="s">
        <v>1266</v>
      </c>
      <c r="D39" s="972"/>
      <c r="E39" s="958">
        <v>149433</v>
      </c>
      <c r="F39" s="972" t="s">
        <v>1386</v>
      </c>
    </row>
    <row r="40" spans="1:12">
      <c r="A40" s="972"/>
      <c r="B40" s="975"/>
      <c r="C40" s="960" t="s">
        <v>1269</v>
      </c>
      <c r="D40" s="972"/>
      <c r="E40" s="958">
        <v>310432</v>
      </c>
      <c r="F40" s="972" t="s">
        <v>1385</v>
      </c>
    </row>
    <row r="41" spans="1:12">
      <c r="A41" s="972"/>
      <c r="B41" s="975"/>
      <c r="C41" s="960" t="s">
        <v>1273</v>
      </c>
      <c r="D41" s="972"/>
      <c r="E41" s="958">
        <v>183541</v>
      </c>
      <c r="F41" s="972" t="s">
        <v>1384</v>
      </c>
    </row>
    <row r="42" spans="1:12">
      <c r="A42" s="972"/>
      <c r="B42" s="975"/>
      <c r="C42" s="960" t="s">
        <v>1276</v>
      </c>
      <c r="D42" s="972"/>
      <c r="E42" s="958">
        <v>300</v>
      </c>
      <c r="F42" s="972" t="s">
        <v>1383</v>
      </c>
    </row>
    <row r="43" spans="1:12">
      <c r="A43" s="972"/>
      <c r="B43" s="975"/>
      <c r="C43" s="960" t="s">
        <v>1277</v>
      </c>
      <c r="D43" s="972"/>
      <c r="E43" s="958">
        <v>15300</v>
      </c>
      <c r="F43" s="972" t="s">
        <v>1382</v>
      </c>
    </row>
    <row r="44" spans="1:12">
      <c r="A44" s="972"/>
      <c r="B44" s="975"/>
      <c r="C44" s="960" t="s">
        <v>1279</v>
      </c>
      <c r="D44" s="972"/>
      <c r="E44" s="958">
        <v>10000</v>
      </c>
      <c r="F44" s="972" t="s">
        <v>1381</v>
      </c>
    </row>
    <row r="45" spans="1:12">
      <c r="A45" s="972"/>
      <c r="B45" s="975"/>
      <c r="C45" s="960" t="s">
        <v>1280</v>
      </c>
      <c r="D45" s="972"/>
      <c r="E45" s="958">
        <v>408908</v>
      </c>
      <c r="F45" s="972" t="s">
        <v>1380</v>
      </c>
    </row>
    <row r="46" spans="1:12">
      <c r="A46" s="972"/>
      <c r="B46" s="975"/>
      <c r="C46" s="960" t="s">
        <v>1285</v>
      </c>
      <c r="D46" s="972"/>
      <c r="E46" s="958">
        <v>1208556</v>
      </c>
      <c r="F46" s="972" t="s">
        <v>1379</v>
      </c>
    </row>
    <row r="47" spans="1:12">
      <c r="A47" s="972"/>
      <c r="B47" s="975"/>
      <c r="C47" s="960" t="s">
        <v>1289</v>
      </c>
      <c r="D47" s="972"/>
      <c r="E47" s="958">
        <v>355563</v>
      </c>
      <c r="F47" s="972" t="s">
        <v>1378</v>
      </c>
    </row>
    <row r="48" spans="1:12">
      <c r="A48" s="972"/>
      <c r="B48" s="975"/>
      <c r="C48" s="960" t="s">
        <v>1295</v>
      </c>
      <c r="D48" s="972"/>
      <c r="E48" s="958">
        <v>300</v>
      </c>
      <c r="F48" s="972" t="s">
        <v>1377</v>
      </c>
    </row>
    <row r="49" spans="1:7">
      <c r="A49" s="972"/>
      <c r="B49" s="975"/>
      <c r="C49" s="960" t="s">
        <v>1296</v>
      </c>
      <c r="D49" s="972"/>
      <c r="E49" s="958">
        <v>53650</v>
      </c>
      <c r="F49" s="972" t="s">
        <v>1376</v>
      </c>
    </row>
    <row r="50" spans="1:7">
      <c r="A50" s="972"/>
      <c r="B50" s="975"/>
      <c r="C50" s="960" t="s">
        <v>1300</v>
      </c>
      <c r="D50" s="972"/>
      <c r="E50" s="958">
        <v>40000</v>
      </c>
      <c r="F50" s="972" t="s">
        <v>1375</v>
      </c>
    </row>
    <row r="51" spans="1:7">
      <c r="A51" s="972"/>
      <c r="B51" s="975"/>
      <c r="C51" s="960" t="s">
        <v>1374</v>
      </c>
      <c r="D51" s="972"/>
      <c r="E51" s="958">
        <v>0</v>
      </c>
      <c r="F51" s="972" t="s">
        <v>1373</v>
      </c>
    </row>
    <row r="52" spans="1:7">
      <c r="A52" s="972"/>
      <c r="B52" s="975"/>
      <c r="C52" s="960" t="s">
        <v>1372</v>
      </c>
      <c r="D52" s="972"/>
      <c r="E52" s="958">
        <v>160000</v>
      </c>
      <c r="F52" s="972" t="s">
        <v>1371</v>
      </c>
    </row>
    <row r="53" spans="1:7">
      <c r="A53" s="1108" t="s">
        <v>1370</v>
      </c>
      <c r="B53" s="1107">
        <f>+E53</f>
        <v>11752774</v>
      </c>
      <c r="C53" s="1106" t="s">
        <v>1369</v>
      </c>
      <c r="D53" s="1103"/>
      <c r="E53" s="1109">
        <f>+'Rev-Exp Plan (2)'!AB41</f>
        <v>11752774</v>
      </c>
      <c r="F53" s="970" t="s">
        <v>578</v>
      </c>
    </row>
    <row r="54" spans="1:7">
      <c r="A54" s="1108" t="s">
        <v>582</v>
      </c>
      <c r="B54" s="1107">
        <f>D54+E54</f>
        <v>50000</v>
      </c>
      <c r="C54" s="1106" t="s">
        <v>1061</v>
      </c>
      <c r="D54" s="1105">
        <f>18544.68+9007.15</f>
        <v>27551.83</v>
      </c>
      <c r="E54" s="1104">
        <f>50000-27551.83</f>
        <v>22448.17</v>
      </c>
      <c r="F54" s="1103" t="s">
        <v>582</v>
      </c>
    </row>
    <row r="55" spans="1:7">
      <c r="A55" s="963" t="s">
        <v>1367</v>
      </c>
      <c r="B55" s="975">
        <v>0</v>
      </c>
      <c r="C55" s="960" t="s">
        <v>1368</v>
      </c>
      <c r="D55" s="973"/>
      <c r="E55" s="958">
        <v>0</v>
      </c>
      <c r="F55" s="972" t="s">
        <v>1367</v>
      </c>
    </row>
    <row r="56" spans="1:7">
      <c r="A56" s="1097" t="s">
        <v>584</v>
      </c>
      <c r="B56" s="974">
        <v>300000</v>
      </c>
      <c r="C56" s="1096" t="s">
        <v>1366</v>
      </c>
      <c r="D56" s="970"/>
      <c r="E56" s="1095">
        <v>300000</v>
      </c>
      <c r="F56" s="1094" t="s">
        <v>1365</v>
      </c>
    </row>
    <row r="57" spans="1:7">
      <c r="A57" s="976">
        <f>SUM(B56:B57)</f>
        <v>1258101</v>
      </c>
      <c r="B57" s="975">
        <v>958101</v>
      </c>
      <c r="C57" s="1091" t="s">
        <v>1364</v>
      </c>
      <c r="D57" s="972"/>
      <c r="E57" s="1102" t="e">
        <f>+'[38]2016-2017'!$B$57</f>
        <v>#REF!</v>
      </c>
      <c r="F57" s="1099" t="s">
        <v>584</v>
      </c>
      <c r="G57" s="1078" t="s">
        <v>1467</v>
      </c>
    </row>
    <row r="58" spans="1:7">
      <c r="A58" s="1097" t="s">
        <v>1363</v>
      </c>
      <c r="B58" s="1129">
        <f t="shared" ref="B58:B68" si="0">+E58</f>
        <v>63800.000000000007</v>
      </c>
      <c r="C58" s="1127" t="s">
        <v>1362</v>
      </c>
      <c r="D58" s="970"/>
      <c r="E58" s="1095">
        <f>+Insurance!U24</f>
        <v>63800.000000000007</v>
      </c>
      <c r="F58" s="1094" t="s">
        <v>1361</v>
      </c>
    </row>
    <row r="59" spans="1:7">
      <c r="A59" s="976"/>
      <c r="B59" s="1093">
        <f t="shared" si="0"/>
        <v>500000</v>
      </c>
      <c r="C59" s="1128" t="s">
        <v>1360</v>
      </c>
      <c r="D59" s="972"/>
      <c r="E59" s="1102">
        <v>500000</v>
      </c>
      <c r="F59" s="1099" t="s">
        <v>1456</v>
      </c>
      <c r="G59" s="1078" t="s">
        <v>1470</v>
      </c>
    </row>
    <row r="60" spans="1:7">
      <c r="A60" s="976"/>
      <c r="B60" s="1093">
        <f t="shared" si="0"/>
        <v>107000</v>
      </c>
      <c r="C60" s="1128" t="s">
        <v>1454</v>
      </c>
      <c r="D60" s="972"/>
      <c r="E60" s="1102">
        <f>+Insurance!U37+Insurance!U38</f>
        <v>107000</v>
      </c>
      <c r="F60" s="1099" t="s">
        <v>1455</v>
      </c>
    </row>
    <row r="61" spans="1:7">
      <c r="A61" s="976"/>
      <c r="B61" s="1093">
        <f t="shared" si="0"/>
        <v>10000</v>
      </c>
      <c r="C61" s="1128" t="s">
        <v>1469</v>
      </c>
      <c r="D61" s="972"/>
      <c r="E61" s="1102">
        <f>+Insurance!U27</f>
        <v>10000</v>
      </c>
      <c r="F61" s="1099" t="s">
        <v>1468</v>
      </c>
    </row>
    <row r="62" spans="1:7">
      <c r="A62" s="976">
        <f>SUM(B58:B62)</f>
        <v>680800</v>
      </c>
      <c r="B62" s="1093">
        <f t="shared" si="0"/>
        <v>0</v>
      </c>
      <c r="C62" s="1128" t="s">
        <v>1359</v>
      </c>
      <c r="D62" s="972"/>
      <c r="E62" s="1102">
        <v>0</v>
      </c>
      <c r="F62" s="1099" t="s">
        <v>69</v>
      </c>
    </row>
    <row r="63" spans="1:7">
      <c r="A63" s="1097" t="s">
        <v>586</v>
      </c>
      <c r="B63" s="1129">
        <f t="shared" si="0"/>
        <v>50000</v>
      </c>
      <c r="C63" s="1127" t="s">
        <v>1358</v>
      </c>
      <c r="D63" s="970"/>
      <c r="E63" s="959">
        <v>50000</v>
      </c>
      <c r="F63" s="970" t="s">
        <v>1357</v>
      </c>
    </row>
    <row r="64" spans="1:7">
      <c r="A64" s="1098"/>
      <c r="B64" s="1093">
        <f t="shared" si="0"/>
        <v>150000</v>
      </c>
      <c r="C64" s="1128" t="s">
        <v>1356</v>
      </c>
      <c r="D64" s="972"/>
      <c r="E64" s="958">
        <v>150000</v>
      </c>
      <c r="F64" s="972" t="s">
        <v>1355</v>
      </c>
    </row>
    <row r="65" spans="1:6">
      <c r="A65" s="1098"/>
      <c r="B65" s="1093">
        <f t="shared" si="0"/>
        <v>50000</v>
      </c>
      <c r="C65" s="1128" t="s">
        <v>1354</v>
      </c>
      <c r="D65" s="972"/>
      <c r="E65" s="958">
        <v>50000</v>
      </c>
      <c r="F65" s="972" t="s">
        <v>1353</v>
      </c>
    </row>
    <row r="66" spans="1:6">
      <c r="A66" s="958"/>
      <c r="B66" s="1093">
        <f t="shared" si="0"/>
        <v>250000</v>
      </c>
      <c r="C66" s="1128" t="s">
        <v>1352</v>
      </c>
      <c r="D66" s="972"/>
      <c r="E66" s="958">
        <v>250000</v>
      </c>
      <c r="F66" s="972" t="s">
        <v>1351</v>
      </c>
    </row>
    <row r="67" spans="1:6">
      <c r="A67" s="976"/>
      <c r="B67" s="1093">
        <f t="shared" si="0"/>
        <v>60000</v>
      </c>
      <c r="C67" s="1128"/>
      <c r="D67" s="972"/>
      <c r="E67" s="1076">
        <v>60000</v>
      </c>
      <c r="F67" s="1132" t="s">
        <v>1165</v>
      </c>
    </row>
    <row r="68" spans="1:6">
      <c r="A68" s="1101" t="e">
        <f>SUM(B63:B68)</f>
        <v>#REF!</v>
      </c>
      <c r="B68" s="1130" t="e">
        <f t="shared" si="0"/>
        <v>#REF!</v>
      </c>
      <c r="C68" s="1134"/>
      <c r="D68" s="977"/>
      <c r="E68" s="1131" t="e">
        <f>ROUND(+[39]Sheet1!$H$19,)</f>
        <v>#REF!</v>
      </c>
      <c r="F68" s="1133" t="s">
        <v>1314</v>
      </c>
    </row>
    <row r="69" spans="1:6">
      <c r="A69" s="976"/>
      <c r="B69" s="975"/>
      <c r="C69" s="1091"/>
      <c r="D69" s="972"/>
      <c r="E69" s="1102"/>
      <c r="F69" s="1099"/>
    </row>
    <row r="70" spans="1:6">
      <c r="A70" s="1100" t="s">
        <v>1350</v>
      </c>
      <c r="B70" s="1093">
        <f>SUM(D70:E86)</f>
        <v>1937043</v>
      </c>
      <c r="C70" s="960" t="s">
        <v>1349</v>
      </c>
      <c r="D70" s="972"/>
      <c r="E70" s="973">
        <v>6500</v>
      </c>
      <c r="F70" s="1099" t="s">
        <v>1348</v>
      </c>
    </row>
    <row r="71" spans="1:6">
      <c r="A71" s="963"/>
      <c r="B71" s="1093"/>
      <c r="C71" s="960" t="s">
        <v>1347</v>
      </c>
      <c r="D71" s="1098"/>
      <c r="E71" s="976">
        <v>0</v>
      </c>
      <c r="F71" s="972" t="s">
        <v>1346</v>
      </c>
    </row>
    <row r="72" spans="1:6">
      <c r="A72" s="963"/>
      <c r="B72" s="975"/>
      <c r="C72" s="1091" t="s">
        <v>1345</v>
      </c>
      <c r="D72" s="1098"/>
      <c r="E72" s="976">
        <v>360000</v>
      </c>
      <c r="F72" s="972" t="s">
        <v>1344</v>
      </c>
    </row>
    <row r="73" spans="1:6">
      <c r="A73" s="1097" t="s">
        <v>1332</v>
      </c>
      <c r="B73" s="974"/>
      <c r="C73" s="1096" t="s">
        <v>1343</v>
      </c>
      <c r="D73" s="970"/>
      <c r="E73" s="1095">
        <v>5000</v>
      </c>
      <c r="F73" s="1094" t="s">
        <v>1342</v>
      </c>
    </row>
    <row r="74" spans="1:6">
      <c r="A74" s="1087"/>
      <c r="B74" s="1093"/>
      <c r="C74" s="960" t="s">
        <v>1341</v>
      </c>
      <c r="D74" s="972"/>
      <c r="E74" s="973">
        <v>20000</v>
      </c>
      <c r="F74" s="972" t="s">
        <v>1332</v>
      </c>
    </row>
    <row r="75" spans="1:6">
      <c r="A75" s="972"/>
      <c r="B75" s="975"/>
      <c r="C75" s="960" t="s">
        <v>1340</v>
      </c>
      <c r="D75" s="972"/>
      <c r="E75" s="958">
        <v>300000</v>
      </c>
      <c r="F75" s="972" t="s">
        <v>1332</v>
      </c>
    </row>
    <row r="76" spans="1:6">
      <c r="A76" s="972"/>
      <c r="B76" s="975"/>
      <c r="C76" s="960" t="s">
        <v>1339</v>
      </c>
      <c r="D76" s="972"/>
      <c r="E76" s="958">
        <v>8000</v>
      </c>
      <c r="F76" s="972" t="s">
        <v>1332</v>
      </c>
    </row>
    <row r="77" spans="1:6">
      <c r="A77" s="972"/>
      <c r="B77" s="975"/>
      <c r="C77" s="960" t="s">
        <v>1338</v>
      </c>
      <c r="D77" s="972"/>
      <c r="E77" s="958">
        <v>0</v>
      </c>
      <c r="F77" s="972" t="s">
        <v>1332</v>
      </c>
    </row>
    <row r="78" spans="1:6">
      <c r="A78" s="973"/>
      <c r="B78" s="975"/>
      <c r="C78" s="960" t="s">
        <v>1337</v>
      </c>
      <c r="D78" s="972"/>
      <c r="E78" s="958">
        <v>2500</v>
      </c>
      <c r="F78" s="972" t="s">
        <v>1332</v>
      </c>
    </row>
    <row r="79" spans="1:6">
      <c r="A79" s="973"/>
      <c r="B79" s="975"/>
      <c r="C79" s="960" t="s">
        <v>1336</v>
      </c>
      <c r="D79" s="972"/>
      <c r="E79" s="958">
        <v>1200000</v>
      </c>
      <c r="F79" s="972" t="s">
        <v>1332</v>
      </c>
    </row>
    <row r="80" spans="1:6">
      <c r="A80" s="1092"/>
      <c r="B80" s="1087"/>
      <c r="C80" s="1091" t="s">
        <v>1335</v>
      </c>
      <c r="D80" s="1090"/>
      <c r="E80" s="976">
        <v>12000</v>
      </c>
      <c r="F80" s="972" t="s">
        <v>1332</v>
      </c>
    </row>
    <row r="81" spans="1:12">
      <c r="A81" s="973"/>
      <c r="B81" s="975"/>
      <c r="C81" s="960" t="s">
        <v>1334</v>
      </c>
      <c r="D81" s="976"/>
      <c r="E81" s="973">
        <v>3500</v>
      </c>
      <c r="F81" s="972" t="s">
        <v>1332</v>
      </c>
    </row>
    <row r="82" spans="1:12">
      <c r="A82" s="967"/>
      <c r="B82" s="1089"/>
      <c r="C82" s="960" t="s">
        <v>1333</v>
      </c>
      <c r="D82" s="1089"/>
      <c r="E82" s="973">
        <v>19543</v>
      </c>
      <c r="F82" s="972" t="s">
        <v>1332</v>
      </c>
    </row>
    <row r="83" spans="1:12">
      <c r="A83" s="961" t="s">
        <v>1327</v>
      </c>
      <c r="B83" s="974"/>
      <c r="C83" s="962" t="s">
        <v>1331</v>
      </c>
      <c r="D83" s="1088"/>
      <c r="E83" s="971">
        <v>0</v>
      </c>
      <c r="F83" s="970" t="s">
        <v>1327</v>
      </c>
    </row>
    <row r="84" spans="1:12">
      <c r="A84" s="972"/>
      <c r="B84" s="975"/>
      <c r="C84" s="960" t="s">
        <v>1330</v>
      </c>
      <c r="D84" s="1087"/>
      <c r="E84" s="973">
        <v>0</v>
      </c>
      <c r="F84" s="970" t="s">
        <v>1327</v>
      </c>
    </row>
    <row r="85" spans="1:12">
      <c r="A85" s="972"/>
      <c r="B85" s="975"/>
      <c r="C85" s="960" t="s">
        <v>1329</v>
      </c>
      <c r="D85" s="972"/>
      <c r="E85" s="958">
        <v>0</v>
      </c>
      <c r="F85" s="972" t="s">
        <v>1327</v>
      </c>
    </row>
    <row r="86" spans="1:12">
      <c r="A86" s="972"/>
      <c r="B86" s="975"/>
      <c r="C86" s="960" t="s">
        <v>1328</v>
      </c>
      <c r="D86" s="972"/>
      <c r="E86" s="958">
        <v>0</v>
      </c>
      <c r="F86" s="972" t="s">
        <v>1327</v>
      </c>
    </row>
    <row r="87" spans="1:12" ht="13.5" thickBot="1">
      <c r="A87" s="1086" t="s">
        <v>590</v>
      </c>
      <c r="B87" s="1085">
        <f>+E87</f>
        <v>70000</v>
      </c>
      <c r="C87" s="1084" t="s">
        <v>1326</v>
      </c>
      <c r="D87" s="1082"/>
      <c r="E87" s="1083">
        <f>60000+10000</f>
        <v>70000</v>
      </c>
      <c r="F87" s="1082"/>
    </row>
    <row r="88" spans="1:12" ht="13.5" thickBot="1"/>
    <row r="89" spans="1:12">
      <c r="A89" s="666" t="s">
        <v>834</v>
      </c>
      <c r="B89" s="667">
        <f>SUM(D89:E91)</f>
        <v>1183954</v>
      </c>
      <c r="C89" s="670" t="s">
        <v>1133</v>
      </c>
      <c r="D89" s="669"/>
      <c r="E89" s="940">
        <v>1025000</v>
      </c>
      <c r="F89" s="670" t="s">
        <v>836</v>
      </c>
    </row>
    <row r="90" spans="1:12">
      <c r="A90" s="1073"/>
      <c r="B90" s="672"/>
      <c r="C90" s="1072" t="s">
        <v>837</v>
      </c>
      <c r="D90" s="674"/>
      <c r="E90" s="675">
        <v>75000</v>
      </c>
      <c r="F90" s="1072" t="s">
        <v>838</v>
      </c>
    </row>
    <row r="91" spans="1:12" ht="13.5" thickBot="1">
      <c r="A91" s="679"/>
      <c r="B91" s="680"/>
      <c r="C91" s="683" t="s">
        <v>839</v>
      </c>
      <c r="D91" s="682"/>
      <c r="E91" s="1135">
        <f>ROUND(L92,)</f>
        <v>83954</v>
      </c>
      <c r="F91" s="683" t="s">
        <v>840</v>
      </c>
      <c r="H91" s="1144"/>
      <c r="I91" s="1145" t="s">
        <v>1464</v>
      </c>
      <c r="J91" s="1145" t="s">
        <v>1465</v>
      </c>
      <c r="K91" s="1145" t="s">
        <v>621</v>
      </c>
      <c r="L91" s="676"/>
    </row>
    <row r="92" spans="1:12" ht="39" thickBot="1">
      <c r="A92" s="1073" t="s">
        <v>841</v>
      </c>
      <c r="B92" s="684">
        <f>SUM(D92:E96)</f>
        <v>75000</v>
      </c>
      <c r="C92" s="1072" t="s">
        <v>1134</v>
      </c>
      <c r="D92" s="674"/>
      <c r="E92" s="675">
        <v>10000</v>
      </c>
      <c r="F92" s="1072" t="s">
        <v>845</v>
      </c>
      <c r="H92" s="1146" t="s">
        <v>1466</v>
      </c>
      <c r="I92" s="1147">
        <v>27066.12</v>
      </c>
      <c r="J92" s="1147">
        <v>15591.6</v>
      </c>
      <c r="K92" s="1147">
        <v>41296.44</v>
      </c>
      <c r="L92" s="1148">
        <v>83954.16</v>
      </c>
    </row>
    <row r="93" spans="1:12" ht="13.5" thickTop="1">
      <c r="A93" s="1072"/>
      <c r="B93" s="672"/>
      <c r="C93" s="1072" t="s">
        <v>1135</v>
      </c>
      <c r="D93" s="1136"/>
      <c r="E93" s="1137">
        <v>0</v>
      </c>
      <c r="F93" s="674" t="s">
        <v>845</v>
      </c>
    </row>
    <row r="94" spans="1:12">
      <c r="A94" s="1072"/>
      <c r="B94" s="672"/>
      <c r="C94" s="1072" t="s">
        <v>1457</v>
      </c>
      <c r="D94" s="1138">
        <v>60000</v>
      </c>
      <c r="E94" s="1139">
        <v>0</v>
      </c>
      <c r="F94" s="1072" t="s">
        <v>845</v>
      </c>
    </row>
    <row r="95" spans="1:12">
      <c r="A95" s="1072"/>
      <c r="B95" s="672"/>
      <c r="C95" s="1072" t="s">
        <v>1458</v>
      </c>
      <c r="D95" s="1138">
        <v>5000</v>
      </c>
      <c r="E95" s="1139">
        <v>0</v>
      </c>
      <c r="F95" s="1072" t="s">
        <v>845</v>
      </c>
    </row>
    <row r="96" spans="1:12" ht="13.5" thickBot="1">
      <c r="A96" s="683"/>
      <c r="B96" s="680"/>
      <c r="C96" s="683" t="s">
        <v>1459</v>
      </c>
      <c r="D96" s="682"/>
      <c r="E96" s="1140">
        <v>0</v>
      </c>
      <c r="F96" s="683" t="s">
        <v>1460</v>
      </c>
    </row>
    <row r="97" spans="1:6">
      <c r="A97" s="1073" t="s">
        <v>852</v>
      </c>
      <c r="B97" s="684">
        <f>SUM(E97:E101)</f>
        <v>300000</v>
      </c>
      <c r="C97" s="1072" t="s">
        <v>853</v>
      </c>
      <c r="D97" s="674"/>
      <c r="E97" s="675">
        <v>49500</v>
      </c>
      <c r="F97" s="1072" t="s">
        <v>1141</v>
      </c>
    </row>
    <row r="98" spans="1:6">
      <c r="A98" s="1072"/>
      <c r="B98" s="672"/>
      <c r="C98" s="1072" t="s">
        <v>1461</v>
      </c>
      <c r="D98" s="674"/>
      <c r="E98" s="1138">
        <v>100000</v>
      </c>
      <c r="F98" s="674" t="s">
        <v>1144</v>
      </c>
    </row>
    <row r="99" spans="1:6">
      <c r="A99" s="676"/>
      <c r="B99" s="1141"/>
      <c r="C99" s="1072" t="s">
        <v>1462</v>
      </c>
      <c r="D99" s="674"/>
      <c r="E99" s="675">
        <v>20500</v>
      </c>
      <c r="F99" s="1072" t="s">
        <v>860</v>
      </c>
    </row>
    <row r="100" spans="1:6">
      <c r="A100" s="676"/>
      <c r="B100" s="1141"/>
      <c r="C100" s="1072" t="s">
        <v>1143</v>
      </c>
      <c r="D100" s="674"/>
      <c r="E100" s="675">
        <v>70000</v>
      </c>
      <c r="F100" s="1072" t="s">
        <v>856</v>
      </c>
    </row>
    <row r="101" spans="1:6" ht="13.5" thickBot="1">
      <c r="A101" s="1142"/>
      <c r="B101" s="1143"/>
      <c r="C101" s="683" t="s">
        <v>1463</v>
      </c>
      <c r="D101" s="682"/>
      <c r="E101" s="881">
        <v>60000</v>
      </c>
      <c r="F101" s="683" t="s">
        <v>331</v>
      </c>
    </row>
    <row r="102" spans="1:6">
      <c r="A102" s="1081" t="s">
        <v>1325</v>
      </c>
      <c r="B102" s="1079" t="e">
        <f>SUM(B2:B101)</f>
        <v>#REF!</v>
      </c>
      <c r="C102" s="1080"/>
      <c r="D102" s="1079">
        <f>SUM(D2:D101)</f>
        <v>537147.42999999993</v>
      </c>
      <c r="E102" s="1079" t="e">
        <f>SUM(E2:E101)</f>
        <v>#REF!</v>
      </c>
      <c r="F102" s="978"/>
    </row>
  </sheetData>
  <pageMargins left="0.7" right="0.7" top="0.75" bottom="0.75" header="0.3" footer="0.3"/>
  <pageSetup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N110"/>
  <sheetViews>
    <sheetView workbookViewId="0"/>
  </sheetViews>
  <sheetFormatPr defaultColWidth="8.85546875" defaultRowHeight="12.75"/>
  <cols>
    <col min="1" max="1" width="25" customWidth="1"/>
    <col min="2" max="2" width="10.85546875" customWidth="1"/>
    <col min="3" max="3" width="21.42578125" bestFit="1" customWidth="1"/>
    <col min="4" max="4" width="10" customWidth="1"/>
    <col min="5" max="5" width="10.85546875" style="475" bestFit="1" customWidth="1"/>
    <col min="6" max="6" width="26" customWidth="1"/>
    <col min="7" max="7" width="10.85546875" bestFit="1" customWidth="1"/>
    <col min="12" max="12" width="20.7109375" customWidth="1"/>
    <col min="13" max="13" width="14.7109375" customWidth="1"/>
  </cols>
  <sheetData>
    <row r="1" spans="1:14" s="1" customFormat="1">
      <c r="A1" s="1164" t="s">
        <v>1577</v>
      </c>
      <c r="D1" s="149"/>
      <c r="E1" s="149"/>
    </row>
    <row r="2" spans="1:14">
      <c r="A2" s="951" t="s">
        <v>576</v>
      </c>
      <c r="B2" s="1250">
        <f>SUM(D2:D34)+SUM(E2:E34)</f>
        <v>3275429.45</v>
      </c>
      <c r="C2" s="952" t="s">
        <v>753</v>
      </c>
      <c r="D2" s="1165"/>
      <c r="E2" s="948">
        <v>375000</v>
      </c>
      <c r="F2" s="945" t="s">
        <v>754</v>
      </c>
      <c r="I2" t="s">
        <v>1512</v>
      </c>
      <c r="J2" s="1115" t="s">
        <v>780</v>
      </c>
      <c r="K2" s="949">
        <v>2228670</v>
      </c>
      <c r="L2" s="1116" t="s">
        <v>1412</v>
      </c>
      <c r="M2" s="1117">
        <v>100000</v>
      </c>
      <c r="N2" s="1116" t="s">
        <v>1413</v>
      </c>
    </row>
    <row r="3" spans="1:14">
      <c r="A3" s="944"/>
      <c r="B3" s="953"/>
      <c r="C3" s="950" t="s">
        <v>755</v>
      </c>
      <c r="D3" s="954"/>
      <c r="E3" s="946">
        <v>30000</v>
      </c>
      <c r="F3" s="944" t="s">
        <v>756</v>
      </c>
      <c r="J3" s="1118"/>
      <c r="K3" s="953"/>
      <c r="L3" s="751" t="s">
        <v>1414</v>
      </c>
      <c r="M3" s="1120">
        <v>0</v>
      </c>
      <c r="N3" s="751" t="s">
        <v>1415</v>
      </c>
    </row>
    <row r="4" spans="1:14">
      <c r="A4" s="944"/>
      <c r="B4" s="953"/>
      <c r="C4" s="950" t="s">
        <v>757</v>
      </c>
      <c r="D4" s="954"/>
      <c r="E4" s="946">
        <v>0</v>
      </c>
      <c r="F4" s="944" t="s">
        <v>758</v>
      </c>
      <c r="J4" s="751"/>
      <c r="K4" s="953"/>
      <c r="L4" s="751" t="s">
        <v>1067</v>
      </c>
      <c r="M4" s="1120">
        <v>50000</v>
      </c>
      <c r="N4" s="751" t="s">
        <v>1068</v>
      </c>
    </row>
    <row r="5" spans="1:14">
      <c r="A5" s="944"/>
      <c r="B5" s="953"/>
      <c r="C5" s="950" t="s">
        <v>761</v>
      </c>
      <c r="D5" s="954"/>
      <c r="E5" s="946">
        <v>0</v>
      </c>
      <c r="F5" s="944" t="s">
        <v>762</v>
      </c>
      <c r="J5" s="751"/>
      <c r="K5" s="953"/>
      <c r="L5" s="751" t="s">
        <v>1069</v>
      </c>
      <c r="M5" s="1120">
        <v>30000</v>
      </c>
      <c r="N5" s="751" t="s">
        <v>1070</v>
      </c>
    </row>
    <row r="6" spans="1:14">
      <c r="A6" s="944"/>
      <c r="B6" s="953"/>
      <c r="C6" s="950" t="s">
        <v>765</v>
      </c>
      <c r="D6" s="954"/>
      <c r="E6" s="946">
        <v>0</v>
      </c>
      <c r="F6" s="944" t="s">
        <v>766</v>
      </c>
      <c r="J6" s="1121"/>
      <c r="K6" s="953"/>
      <c r="L6" s="751" t="s">
        <v>1071</v>
      </c>
      <c r="M6" s="1120">
        <v>110000</v>
      </c>
      <c r="N6" s="751" t="s">
        <v>1072</v>
      </c>
    </row>
    <row r="7" spans="1:14">
      <c r="A7" s="944"/>
      <c r="B7" s="953"/>
      <c r="C7" s="950" t="s">
        <v>772</v>
      </c>
      <c r="D7" s="954"/>
      <c r="E7" s="946">
        <v>10000</v>
      </c>
      <c r="F7" s="944" t="s">
        <v>773</v>
      </c>
      <c r="J7" s="751"/>
      <c r="K7" s="1122"/>
      <c r="L7" s="751" t="s">
        <v>1073</v>
      </c>
      <c r="M7" s="1120">
        <v>250000</v>
      </c>
      <c r="N7" s="751" t="s">
        <v>1074</v>
      </c>
    </row>
    <row r="8" spans="1:14">
      <c r="A8" s="944"/>
      <c r="B8" s="953"/>
      <c r="C8" s="950" t="s">
        <v>1410</v>
      </c>
      <c r="D8" s="954"/>
      <c r="E8" s="946">
        <v>25000</v>
      </c>
      <c r="F8" s="944" t="s">
        <v>1125</v>
      </c>
      <c r="J8" s="751"/>
      <c r="K8" s="953"/>
      <c r="L8" s="751" t="s">
        <v>1075</v>
      </c>
      <c r="M8" s="1120">
        <v>450000</v>
      </c>
      <c r="N8" s="751" t="s">
        <v>1076</v>
      </c>
    </row>
    <row r="9" spans="1:14">
      <c r="A9" s="944"/>
      <c r="B9" s="953"/>
      <c r="C9" s="950" t="s">
        <v>1409</v>
      </c>
      <c r="D9" s="954"/>
      <c r="E9" s="946">
        <v>30000</v>
      </c>
      <c r="F9" s="944" t="s">
        <v>1127</v>
      </c>
      <c r="J9" s="751"/>
      <c r="K9" s="953"/>
      <c r="L9" s="751" t="s">
        <v>1416</v>
      </c>
      <c r="M9" s="1120">
        <v>75000</v>
      </c>
      <c r="N9" s="751" t="s">
        <v>1417</v>
      </c>
    </row>
    <row r="10" spans="1:14">
      <c r="A10" s="944"/>
      <c r="B10" s="953"/>
      <c r="C10" s="950" t="s">
        <v>1042</v>
      </c>
      <c r="D10" s="954"/>
      <c r="E10" s="946">
        <v>133242</v>
      </c>
      <c r="F10" s="944" t="s">
        <v>1578</v>
      </c>
      <c r="J10" s="751"/>
      <c r="K10" s="953"/>
      <c r="L10" s="751" t="s">
        <v>1418</v>
      </c>
      <c r="M10" s="1120">
        <v>10000</v>
      </c>
      <c r="N10" s="751" t="s">
        <v>1419</v>
      </c>
    </row>
    <row r="11" spans="1:14">
      <c r="A11" s="944"/>
      <c r="B11" s="953"/>
      <c r="C11" s="950" t="s">
        <v>769</v>
      </c>
      <c r="D11" s="954"/>
      <c r="E11" s="946">
        <v>112000</v>
      </c>
      <c r="F11" s="944" t="s">
        <v>770</v>
      </c>
      <c r="J11" s="751"/>
      <c r="K11" s="953"/>
      <c r="L11" s="751" t="s">
        <v>1420</v>
      </c>
      <c r="M11" s="1120">
        <v>1000</v>
      </c>
      <c r="N11" s="751" t="s">
        <v>1421</v>
      </c>
    </row>
    <row r="12" spans="1:14">
      <c r="A12" s="944"/>
      <c r="B12" s="953"/>
      <c r="C12" s="950" t="s">
        <v>771</v>
      </c>
      <c r="D12" s="954"/>
      <c r="E12" s="946">
        <v>500000</v>
      </c>
      <c r="F12" s="944" t="s">
        <v>72</v>
      </c>
      <c r="J12" s="751"/>
      <c r="K12" s="953"/>
      <c r="L12" s="751" t="s">
        <v>1422</v>
      </c>
      <c r="M12" s="1120">
        <v>1300</v>
      </c>
      <c r="N12" s="751" t="s">
        <v>1423</v>
      </c>
    </row>
    <row r="13" spans="1:14">
      <c r="A13" s="944"/>
      <c r="B13" s="953"/>
      <c r="C13" s="950" t="s">
        <v>774</v>
      </c>
      <c r="D13" s="954"/>
      <c r="E13" s="946">
        <v>20000</v>
      </c>
      <c r="F13" s="944" t="s">
        <v>775</v>
      </c>
      <c r="J13" s="751"/>
      <c r="K13" s="953"/>
      <c r="L13" s="751" t="s">
        <v>1424</v>
      </c>
      <c r="M13" s="1120">
        <v>200</v>
      </c>
      <c r="N13" s="751" t="s">
        <v>1425</v>
      </c>
    </row>
    <row r="14" spans="1:14">
      <c r="A14" s="944"/>
      <c r="B14" s="953"/>
      <c r="C14" s="950" t="s">
        <v>1132</v>
      </c>
      <c r="D14" s="954"/>
      <c r="E14" s="946">
        <v>115000</v>
      </c>
      <c r="F14" s="944" t="s">
        <v>301</v>
      </c>
      <c r="G14" t="s">
        <v>1608</v>
      </c>
      <c r="J14" s="751"/>
      <c r="K14" s="953"/>
      <c r="L14" s="751" t="s">
        <v>1426</v>
      </c>
      <c r="M14" s="1120">
        <v>4000</v>
      </c>
      <c r="N14" s="751" t="s">
        <v>1427</v>
      </c>
    </row>
    <row r="15" spans="1:14">
      <c r="A15" s="944"/>
      <c r="B15" s="953"/>
      <c r="C15" s="950" t="s">
        <v>777</v>
      </c>
      <c r="D15" s="954"/>
      <c r="E15" s="946">
        <v>40000</v>
      </c>
      <c r="F15" s="944" t="s">
        <v>778</v>
      </c>
      <c r="G15" t="s">
        <v>1609</v>
      </c>
      <c r="J15" s="751"/>
      <c r="K15" s="953"/>
      <c r="L15" s="751" t="s">
        <v>1428</v>
      </c>
      <c r="M15" s="1120">
        <v>3600</v>
      </c>
      <c r="N15" s="751" t="s">
        <v>1429</v>
      </c>
    </row>
    <row r="16" spans="1:14">
      <c r="A16" s="944"/>
      <c r="B16" s="953"/>
      <c r="C16" s="1166" t="s">
        <v>1579</v>
      </c>
      <c r="D16" s="954"/>
      <c r="E16" s="946">
        <f>'[40]MISC Rev'!D32</f>
        <v>60000</v>
      </c>
      <c r="F16" s="944" t="s">
        <v>1580</v>
      </c>
      <c r="J16" s="751"/>
      <c r="K16" s="953"/>
      <c r="L16" s="751" t="s">
        <v>1430</v>
      </c>
      <c r="M16" s="1120">
        <v>4000</v>
      </c>
      <c r="N16" s="751" t="s">
        <v>1431</v>
      </c>
    </row>
    <row r="17" spans="1:14">
      <c r="A17" s="944"/>
      <c r="B17" s="953"/>
      <c r="C17" s="950" t="s">
        <v>779</v>
      </c>
      <c r="D17" s="954"/>
      <c r="E17" s="946">
        <v>150000</v>
      </c>
      <c r="F17" s="944" t="s">
        <v>780</v>
      </c>
      <c r="J17" s="751"/>
      <c r="K17" s="953"/>
      <c r="L17" s="751" t="s">
        <v>1080</v>
      </c>
      <c r="M17" s="1120">
        <v>12000</v>
      </c>
      <c r="N17" s="751" t="s">
        <v>1078</v>
      </c>
    </row>
    <row r="18" spans="1:14">
      <c r="A18" s="944"/>
      <c r="B18" s="953"/>
      <c r="C18" s="950" t="s">
        <v>781</v>
      </c>
      <c r="D18" s="954"/>
      <c r="E18" s="946">
        <v>10000</v>
      </c>
      <c r="F18" s="944" t="s">
        <v>782</v>
      </c>
      <c r="J18" s="751"/>
      <c r="K18" s="953"/>
      <c r="L18" s="751" t="s">
        <v>1077</v>
      </c>
      <c r="M18" s="1120">
        <v>5800</v>
      </c>
      <c r="N18" s="751" t="s">
        <v>1078</v>
      </c>
    </row>
    <row r="19" spans="1:14">
      <c r="A19" s="944"/>
      <c r="B19" s="953"/>
      <c r="C19" s="950" t="s">
        <v>783</v>
      </c>
      <c r="D19" s="954"/>
      <c r="E19" s="946">
        <v>65000</v>
      </c>
      <c r="F19" s="944" t="s">
        <v>784</v>
      </c>
      <c r="J19" s="751"/>
      <c r="K19" s="953"/>
      <c r="L19" s="751" t="s">
        <v>1079</v>
      </c>
      <c r="M19" s="1120">
        <v>10000</v>
      </c>
      <c r="N19" s="751" t="s">
        <v>1078</v>
      </c>
    </row>
    <row r="20" spans="1:14">
      <c r="A20" s="944"/>
      <c r="B20" s="953"/>
      <c r="C20" s="950" t="s">
        <v>785</v>
      </c>
      <c r="D20" s="954"/>
      <c r="E20" s="946">
        <v>12000</v>
      </c>
      <c r="F20" s="944" t="s">
        <v>1514</v>
      </c>
      <c r="J20" s="751"/>
      <c r="K20" s="953"/>
      <c r="L20" s="751" t="s">
        <v>1601</v>
      </c>
      <c r="M20" s="1120">
        <v>26850</v>
      </c>
      <c r="N20" s="751" t="s">
        <v>1602</v>
      </c>
    </row>
    <row r="21" spans="1:14">
      <c r="A21" s="944"/>
      <c r="B21" s="953"/>
      <c r="C21" s="950" t="s">
        <v>1515</v>
      </c>
      <c r="D21" s="954"/>
      <c r="E21" s="946">
        <v>30000</v>
      </c>
      <c r="F21" s="944" t="s">
        <v>788</v>
      </c>
      <c r="J21" s="751"/>
      <c r="K21" s="953"/>
      <c r="L21" s="751" t="s">
        <v>1603</v>
      </c>
      <c r="M21" s="1120">
        <v>8450</v>
      </c>
      <c r="N21" s="751" t="s">
        <v>1604</v>
      </c>
    </row>
    <row r="22" spans="1:14">
      <c r="A22" s="944"/>
      <c r="B22" s="953"/>
      <c r="C22" s="950" t="s">
        <v>1404</v>
      </c>
      <c r="D22" s="954">
        <f>83121+42599.51</f>
        <v>125720.51000000001</v>
      </c>
      <c r="E22" s="946">
        <v>0</v>
      </c>
      <c r="F22" s="944" t="s">
        <v>1403</v>
      </c>
      <c r="J22" s="751"/>
      <c r="K22" s="953"/>
      <c r="L22" s="751" t="s">
        <v>1605</v>
      </c>
      <c r="M22" s="1120">
        <v>56380</v>
      </c>
      <c r="N22" s="751" t="s">
        <v>1606</v>
      </c>
    </row>
    <row r="23" spans="1:14">
      <c r="A23" s="944"/>
      <c r="B23" s="953"/>
      <c r="C23" s="950" t="s">
        <v>1581</v>
      </c>
      <c r="D23" s="954">
        <f>205620+61686</f>
        <v>267306</v>
      </c>
      <c r="E23" s="946">
        <v>0</v>
      </c>
      <c r="F23" s="944" t="s">
        <v>1582</v>
      </c>
      <c r="J23" s="751"/>
      <c r="K23" s="953"/>
      <c r="L23" s="751" t="s">
        <v>1435</v>
      </c>
      <c r="M23" s="1120">
        <v>400</v>
      </c>
      <c r="N23" s="751" t="s">
        <v>1436</v>
      </c>
    </row>
    <row r="24" spans="1:14">
      <c r="A24" s="944"/>
      <c r="B24" s="953"/>
      <c r="C24" s="950" t="s">
        <v>1583</v>
      </c>
      <c r="D24" s="954">
        <f>100104+36537.96+90588+33064.62</f>
        <v>260294.58</v>
      </c>
      <c r="E24" s="946">
        <v>0</v>
      </c>
      <c r="F24" s="944" t="s">
        <v>1584</v>
      </c>
      <c r="J24" s="751"/>
      <c r="K24" s="953"/>
      <c r="L24" s="751" t="s">
        <v>1437</v>
      </c>
      <c r="M24" s="1120">
        <v>150</v>
      </c>
      <c r="N24" s="751" t="s">
        <v>1436</v>
      </c>
    </row>
    <row r="25" spans="1:14">
      <c r="A25" s="944"/>
      <c r="B25" s="953"/>
      <c r="C25" s="950" t="s">
        <v>1585</v>
      </c>
      <c r="D25" s="954">
        <f>32746+16782.33</f>
        <v>49528.33</v>
      </c>
      <c r="E25" s="946">
        <v>0</v>
      </c>
      <c r="F25" s="944" t="s">
        <v>1586</v>
      </c>
      <c r="J25" s="751"/>
      <c r="K25" s="953"/>
      <c r="L25" s="751" t="s">
        <v>1438</v>
      </c>
      <c r="M25" s="1120">
        <v>300</v>
      </c>
      <c r="N25" s="751" t="s">
        <v>1436</v>
      </c>
    </row>
    <row r="26" spans="1:14">
      <c r="A26" s="944"/>
      <c r="B26" s="953"/>
      <c r="C26" s="950" t="s">
        <v>1402</v>
      </c>
      <c r="D26" s="954">
        <f>50208.85+25732.04</f>
        <v>75940.89</v>
      </c>
      <c r="E26" s="946">
        <v>0</v>
      </c>
      <c r="F26" s="944" t="s">
        <v>1401</v>
      </c>
      <c r="J26" s="751"/>
      <c r="K26" s="953"/>
      <c r="L26" s="751" t="s">
        <v>1439</v>
      </c>
      <c r="M26" s="1120">
        <v>20500</v>
      </c>
      <c r="N26" s="751" t="s">
        <v>1440</v>
      </c>
    </row>
    <row r="27" spans="1:14">
      <c r="A27" s="944"/>
      <c r="B27" s="953"/>
      <c r="C27" s="950" t="s">
        <v>1402</v>
      </c>
      <c r="D27" s="954">
        <f>44128+22615.6</f>
        <v>66743.600000000006</v>
      </c>
      <c r="E27" s="946">
        <v>0</v>
      </c>
      <c r="F27" s="944" t="s">
        <v>1587</v>
      </c>
      <c r="J27" s="751"/>
      <c r="K27" s="953"/>
      <c r="L27" s="751" t="s">
        <v>1442</v>
      </c>
      <c r="M27" s="1120">
        <v>20000</v>
      </c>
      <c r="N27" s="751" t="s">
        <v>1440</v>
      </c>
    </row>
    <row r="28" spans="1:14">
      <c r="A28" s="944"/>
      <c r="B28" s="953"/>
      <c r="C28" s="950" t="s">
        <v>1400</v>
      </c>
      <c r="D28" s="954">
        <f>73920+26980.8</f>
        <v>100900.8</v>
      </c>
      <c r="E28" s="947">
        <v>0</v>
      </c>
      <c r="F28" s="944" t="s">
        <v>1588</v>
      </c>
      <c r="J28" s="751"/>
      <c r="K28" s="953"/>
      <c r="L28" s="751" t="s">
        <v>1442</v>
      </c>
      <c r="M28" s="946">
        <v>160000</v>
      </c>
      <c r="N28" s="751" t="s">
        <v>1443</v>
      </c>
    </row>
    <row r="29" spans="1:14">
      <c r="A29" s="944"/>
      <c r="B29" s="953"/>
      <c r="C29" s="950" t="s">
        <v>1589</v>
      </c>
      <c r="D29" s="954">
        <f>51707.34+22751.23</f>
        <v>74458.569999999992</v>
      </c>
      <c r="E29" s="947">
        <v>0</v>
      </c>
      <c r="F29" s="944" t="s">
        <v>1590</v>
      </c>
      <c r="J29" s="751"/>
      <c r="K29" s="953"/>
      <c r="L29" s="751" t="s">
        <v>1444</v>
      </c>
      <c r="M29" s="1123">
        <v>0</v>
      </c>
      <c r="N29" s="751" t="s">
        <v>1443</v>
      </c>
    </row>
    <row r="30" spans="1:14">
      <c r="A30" s="944"/>
      <c r="B30" s="953"/>
      <c r="C30" s="950" t="s">
        <v>1591</v>
      </c>
      <c r="D30" s="954">
        <f>11163.84+5721.47</f>
        <v>16885.310000000001</v>
      </c>
      <c r="E30" s="947">
        <v>0</v>
      </c>
      <c r="F30" s="944" t="s">
        <v>1592</v>
      </c>
      <c r="J30" s="751"/>
      <c r="K30" s="953"/>
      <c r="L30" s="751" t="s">
        <v>1445</v>
      </c>
      <c r="M30" s="1120">
        <v>70000</v>
      </c>
      <c r="N30" s="751" t="s">
        <v>1446</v>
      </c>
    </row>
    <row r="31" spans="1:14">
      <c r="A31" s="944"/>
      <c r="B31" s="953"/>
      <c r="C31" s="950" t="s">
        <v>1593</v>
      </c>
      <c r="D31" s="954">
        <f>74753.28+38311.06</f>
        <v>113064.34</v>
      </c>
      <c r="E31" s="947">
        <v>0</v>
      </c>
      <c r="F31" s="944" t="s">
        <v>1594</v>
      </c>
      <c r="G31">
        <v>335901</v>
      </c>
      <c r="J31" s="751"/>
      <c r="K31" s="953"/>
      <c r="L31" s="751" t="s">
        <v>1447</v>
      </c>
      <c r="M31" s="1120">
        <v>0</v>
      </c>
      <c r="N31" s="751" t="s">
        <v>1446</v>
      </c>
    </row>
    <row r="32" spans="1:14">
      <c r="A32" s="944"/>
      <c r="B32" s="953"/>
      <c r="C32" s="950" t="s">
        <v>1595</v>
      </c>
      <c r="D32" s="954">
        <f>38102.4+14894.2+27160.76</f>
        <v>80157.36</v>
      </c>
      <c r="E32" s="947">
        <v>0</v>
      </c>
      <c r="F32" s="944" t="s">
        <v>1596</v>
      </c>
      <c r="G32" s="336">
        <v>521305</v>
      </c>
      <c r="J32" s="751"/>
      <c r="K32" s="953"/>
      <c r="L32" s="751" t="s">
        <v>1448</v>
      </c>
      <c r="M32" s="1120">
        <v>0</v>
      </c>
      <c r="N32" s="751" t="s">
        <v>1449</v>
      </c>
    </row>
    <row r="33" spans="1:14">
      <c r="A33" s="944"/>
      <c r="B33" s="953"/>
      <c r="C33" s="950" t="s">
        <v>1597</v>
      </c>
      <c r="D33" s="954">
        <f>153189.72+64339.68</f>
        <v>217529.4</v>
      </c>
      <c r="E33" s="947">
        <v>0</v>
      </c>
      <c r="F33" s="944" t="s">
        <v>1598</v>
      </c>
      <c r="G33" s="336">
        <f>G32-G31</f>
        <v>185404</v>
      </c>
      <c r="J33" s="1124"/>
      <c r="K33" s="1125"/>
      <c r="L33" s="1124" t="s">
        <v>1516</v>
      </c>
      <c r="M33" s="1126">
        <v>60000</v>
      </c>
      <c r="N33" s="1124" t="s">
        <v>1513</v>
      </c>
    </row>
    <row r="34" spans="1:14">
      <c r="A34" s="944"/>
      <c r="B34" s="953"/>
      <c r="C34" s="950" t="s">
        <v>1599</v>
      </c>
      <c r="D34" s="954">
        <f>72501+37156.76</f>
        <v>109657.76000000001</v>
      </c>
      <c r="E34" s="947">
        <v>0</v>
      </c>
      <c r="F34" s="944" t="s">
        <v>1600</v>
      </c>
      <c r="J34" s="1167"/>
      <c r="K34" s="1168"/>
      <c r="L34" s="1169"/>
      <c r="M34" s="1253">
        <f>SUM(M2:M33)</f>
        <v>1539930</v>
      </c>
      <c r="N34" s="1169"/>
    </row>
    <row r="35" spans="1:14">
      <c r="A35" s="951" t="s">
        <v>577</v>
      </c>
      <c r="B35" s="1245">
        <f>D35+SUM(E35:E61)</f>
        <v>4576147</v>
      </c>
      <c r="C35" s="952" t="s">
        <v>1244</v>
      </c>
      <c r="D35" s="1165">
        <v>330789</v>
      </c>
      <c r="E35" s="948">
        <v>15750</v>
      </c>
      <c r="F35" s="945" t="s">
        <v>1398</v>
      </c>
      <c r="M35" s="475"/>
    </row>
    <row r="36" spans="1:14">
      <c r="A36" s="954"/>
      <c r="B36" s="475"/>
      <c r="C36" s="950" t="s">
        <v>1245</v>
      </c>
      <c r="D36" s="944"/>
      <c r="E36" s="946">
        <v>136000</v>
      </c>
      <c r="F36" s="944" t="s">
        <v>1397</v>
      </c>
      <c r="M36" s="475"/>
    </row>
    <row r="37" spans="1:14">
      <c r="A37" s="944"/>
      <c r="B37" s="953"/>
      <c r="C37" s="950" t="s">
        <v>1246</v>
      </c>
      <c r="D37" s="944"/>
      <c r="E37" s="946">
        <v>5840</v>
      </c>
      <c r="F37" s="944" t="s">
        <v>1396</v>
      </c>
    </row>
    <row r="38" spans="1:14">
      <c r="A38" s="944"/>
      <c r="B38" s="953"/>
      <c r="C38" s="950" t="s">
        <v>1247</v>
      </c>
      <c r="D38" s="944"/>
      <c r="E38" s="946">
        <v>0</v>
      </c>
      <c r="F38" s="944" t="s">
        <v>1395</v>
      </c>
    </row>
    <row r="39" spans="1:14">
      <c r="A39" s="944"/>
      <c r="B39" s="953"/>
      <c r="C39" s="950" t="s">
        <v>1248</v>
      </c>
      <c r="D39" s="944"/>
      <c r="E39" s="946">
        <v>840</v>
      </c>
      <c r="F39" s="944" t="s">
        <v>1394</v>
      </c>
    </row>
    <row r="40" spans="1:14">
      <c r="A40" s="944"/>
      <c r="B40" s="953"/>
      <c r="C40" s="950" t="s">
        <v>1249</v>
      </c>
      <c r="D40" s="944"/>
      <c r="E40" s="946">
        <v>801</v>
      </c>
      <c r="F40" s="944" t="s">
        <v>1393</v>
      </c>
    </row>
    <row r="41" spans="1:14">
      <c r="A41" s="944"/>
      <c r="B41" s="953"/>
      <c r="C41" s="950" t="s">
        <v>1251</v>
      </c>
      <c r="D41" s="944"/>
      <c r="E41" s="946">
        <v>245985</v>
      </c>
      <c r="F41" s="944" t="s">
        <v>1392</v>
      </c>
    </row>
    <row r="42" spans="1:14">
      <c r="A42" s="944"/>
      <c r="B42" s="953"/>
      <c r="C42" s="950" t="s">
        <v>1254</v>
      </c>
      <c r="D42" s="944"/>
      <c r="E42" s="946">
        <v>723150</v>
      </c>
      <c r="F42" s="944" t="s">
        <v>1391</v>
      </c>
    </row>
    <row r="43" spans="1:14">
      <c r="A43" s="944"/>
      <c r="B43" s="953"/>
      <c r="C43" s="950" t="s">
        <v>1258</v>
      </c>
      <c r="D43" s="944"/>
      <c r="E43" s="946">
        <v>250000</v>
      </c>
      <c r="F43" s="944" t="s">
        <v>1390</v>
      </c>
    </row>
    <row r="44" spans="1:14">
      <c r="A44" s="944"/>
      <c r="B44" s="953"/>
      <c r="C44" s="950" t="s">
        <v>1262</v>
      </c>
      <c r="D44" s="944"/>
      <c r="E44" s="946">
        <v>0</v>
      </c>
      <c r="F44" s="944" t="s">
        <v>1389</v>
      </c>
    </row>
    <row r="45" spans="1:14">
      <c r="A45" s="944"/>
      <c r="B45" s="953"/>
      <c r="C45" s="950" t="s">
        <v>1263</v>
      </c>
      <c r="D45" s="944"/>
      <c r="E45" s="946">
        <v>45900</v>
      </c>
      <c r="F45" s="944" t="s">
        <v>1388</v>
      </c>
    </row>
    <row r="46" spans="1:14">
      <c r="A46" s="944"/>
      <c r="B46" s="953"/>
      <c r="C46" s="950" t="s">
        <v>1265</v>
      </c>
      <c r="D46" s="944"/>
      <c r="E46" s="946">
        <v>9000</v>
      </c>
      <c r="F46" s="944" t="s">
        <v>1387</v>
      </c>
    </row>
    <row r="47" spans="1:14">
      <c r="A47" s="944"/>
      <c r="B47" s="953"/>
      <c r="C47" s="950" t="s">
        <v>1266</v>
      </c>
      <c r="D47" s="944"/>
      <c r="E47" s="946">
        <v>170045</v>
      </c>
      <c r="F47" s="944" t="s">
        <v>1386</v>
      </c>
    </row>
    <row r="48" spans="1:14">
      <c r="A48" s="944"/>
      <c r="B48" s="953"/>
      <c r="C48" s="950" t="s">
        <v>1269</v>
      </c>
      <c r="D48" s="944"/>
      <c r="E48" s="946">
        <v>313932</v>
      </c>
      <c r="F48" s="944" t="s">
        <v>1385</v>
      </c>
    </row>
    <row r="49" spans="1:7">
      <c r="A49" s="944"/>
      <c r="B49" s="953"/>
      <c r="C49" s="950" t="s">
        <v>1273</v>
      </c>
      <c r="D49" s="944"/>
      <c r="E49" s="946">
        <v>166855</v>
      </c>
      <c r="F49" s="944" t="s">
        <v>1384</v>
      </c>
    </row>
    <row r="50" spans="1:7">
      <c r="A50" s="944"/>
      <c r="B50" s="953"/>
      <c r="C50" s="950" t="s">
        <v>1276</v>
      </c>
      <c r="D50" s="944"/>
      <c r="E50" s="946">
        <v>0</v>
      </c>
      <c r="F50" s="944" t="s">
        <v>1383</v>
      </c>
    </row>
    <row r="51" spans="1:7">
      <c r="A51" s="944"/>
      <c r="B51" s="953"/>
      <c r="C51" s="950" t="s">
        <v>1277</v>
      </c>
      <c r="D51" s="944"/>
      <c r="E51" s="946">
        <v>25500</v>
      </c>
      <c r="F51" s="944" t="s">
        <v>1382</v>
      </c>
    </row>
    <row r="52" spans="1:7">
      <c r="A52" s="944"/>
      <c r="B52" s="953"/>
      <c r="C52" s="950" t="s">
        <v>1279</v>
      </c>
      <c r="D52" s="944"/>
      <c r="E52" s="946">
        <v>8000</v>
      </c>
      <c r="F52" s="944" t="s">
        <v>1381</v>
      </c>
    </row>
    <row r="53" spans="1:7">
      <c r="A53" s="944"/>
      <c r="B53" s="953"/>
      <c r="C53" s="950" t="s">
        <v>1280</v>
      </c>
      <c r="D53" s="944"/>
      <c r="E53" s="946">
        <v>334299</v>
      </c>
      <c r="F53" s="944" t="s">
        <v>1380</v>
      </c>
    </row>
    <row r="54" spans="1:7">
      <c r="A54" s="944"/>
      <c r="B54" s="953"/>
      <c r="C54" s="950" t="s">
        <v>1285</v>
      </c>
      <c r="D54" s="944"/>
      <c r="E54" s="946">
        <v>964049</v>
      </c>
      <c r="F54" s="944" t="s">
        <v>1379</v>
      </c>
    </row>
    <row r="55" spans="1:7">
      <c r="A55" s="944"/>
      <c r="B55" s="953"/>
      <c r="C55" s="950" t="s">
        <v>1289</v>
      </c>
      <c r="D55" s="944"/>
      <c r="E55" s="946">
        <v>401148</v>
      </c>
      <c r="F55" s="944" t="s">
        <v>1378</v>
      </c>
    </row>
    <row r="56" spans="1:7">
      <c r="A56" s="944"/>
      <c r="B56" s="953"/>
      <c r="C56" s="950" t="s">
        <v>1295</v>
      </c>
      <c r="D56" s="944"/>
      <c r="E56" s="946">
        <v>0</v>
      </c>
      <c r="F56" s="944" t="s">
        <v>1377</v>
      </c>
    </row>
    <row r="57" spans="1:7">
      <c r="A57" s="944"/>
      <c r="B57" s="953"/>
      <c r="C57" s="950" t="s">
        <v>1296</v>
      </c>
      <c r="D57" s="944"/>
      <c r="E57" s="946">
        <v>57900</v>
      </c>
      <c r="F57" s="944" t="s">
        <v>1376</v>
      </c>
    </row>
    <row r="58" spans="1:7">
      <c r="A58" s="944"/>
      <c r="B58" s="953"/>
      <c r="C58" s="950" t="s">
        <v>1300</v>
      </c>
      <c r="D58" s="944"/>
      <c r="E58" s="946">
        <v>17000</v>
      </c>
      <c r="F58" s="944" t="s">
        <v>1375</v>
      </c>
    </row>
    <row r="59" spans="1:7">
      <c r="A59" s="944"/>
      <c r="B59" s="953"/>
      <c r="C59" s="950" t="s">
        <v>1374</v>
      </c>
      <c r="D59" s="944"/>
      <c r="E59" s="946">
        <v>116848</v>
      </c>
      <c r="F59" s="944" t="s">
        <v>1373</v>
      </c>
    </row>
    <row r="60" spans="1:7">
      <c r="A60" s="944"/>
      <c r="B60" s="953"/>
      <c r="C60" s="950" t="s">
        <v>1517</v>
      </c>
      <c r="D60" s="944"/>
      <c r="E60" s="946">
        <f>68976+23040+4500</f>
        <v>96516</v>
      </c>
      <c r="F60" s="944" t="s">
        <v>1518</v>
      </c>
    </row>
    <row r="61" spans="1:7">
      <c r="A61" s="944"/>
      <c r="B61" s="953"/>
      <c r="C61" s="950" t="s">
        <v>1372</v>
      </c>
      <c r="D61" s="944"/>
      <c r="E61" s="946">
        <v>140000</v>
      </c>
      <c r="F61" s="944" t="s">
        <v>1371</v>
      </c>
      <c r="G61" s="336"/>
    </row>
    <row r="62" spans="1:7">
      <c r="A62" s="1170" t="s">
        <v>1370</v>
      </c>
      <c r="B62" s="1171">
        <v>0</v>
      </c>
      <c r="C62" s="1172" t="s">
        <v>1369</v>
      </c>
      <c r="D62" s="1173"/>
      <c r="E62" s="1174" t="s">
        <v>748</v>
      </c>
      <c r="F62" s="945" t="s">
        <v>578</v>
      </c>
    </row>
    <row r="63" spans="1:7">
      <c r="A63" s="1170" t="s">
        <v>582</v>
      </c>
      <c r="B63" s="1249">
        <v>50000</v>
      </c>
      <c r="C63" s="1172" t="s">
        <v>1061</v>
      </c>
      <c r="D63" s="1175">
        <v>0</v>
      </c>
      <c r="E63" s="1176">
        <f>B63</f>
        <v>50000</v>
      </c>
      <c r="F63" s="1173" t="s">
        <v>582</v>
      </c>
    </row>
    <row r="64" spans="1:7">
      <c r="A64" s="1177" t="s">
        <v>1367</v>
      </c>
      <c r="B64" s="953">
        <v>0</v>
      </c>
      <c r="C64" s="950" t="s">
        <v>1368</v>
      </c>
      <c r="D64" s="954"/>
      <c r="E64" s="946">
        <v>0</v>
      </c>
      <c r="F64" s="944" t="s">
        <v>1367</v>
      </c>
    </row>
    <row r="65" spans="1:7">
      <c r="A65" s="1178" t="s">
        <v>584</v>
      </c>
      <c r="B65" s="1245"/>
      <c r="C65" s="1179"/>
      <c r="D65" s="945"/>
      <c r="E65" s="1180"/>
      <c r="F65" s="1181"/>
      <c r="G65" s="336"/>
    </row>
    <row r="66" spans="1:7">
      <c r="A66" s="1120"/>
      <c r="B66" s="1981">
        <f>[41]Sheet1!$N$20</f>
        <v>1412605.31</v>
      </c>
      <c r="C66" s="1182" t="s">
        <v>1519</v>
      </c>
      <c r="D66" s="944"/>
      <c r="E66" s="1183">
        <f>B66</f>
        <v>1412605.31</v>
      </c>
      <c r="F66" s="1184" t="s">
        <v>1520</v>
      </c>
    </row>
    <row r="67" spans="1:7">
      <c r="A67" s="1178" t="s">
        <v>1363</v>
      </c>
      <c r="B67" s="1245">
        <v>65000</v>
      </c>
      <c r="C67" s="1179" t="s">
        <v>1521</v>
      </c>
      <c r="D67" s="945"/>
      <c r="E67" s="1180">
        <v>65000</v>
      </c>
      <c r="F67" s="1181" t="s">
        <v>1522</v>
      </c>
    </row>
    <row r="68" spans="1:7">
      <c r="A68" s="1120"/>
      <c r="B68" s="1246">
        <f>E68</f>
        <v>500000</v>
      </c>
      <c r="C68" s="1182" t="s">
        <v>1360</v>
      </c>
      <c r="D68" s="944"/>
      <c r="E68" s="1183">
        <v>500000</v>
      </c>
      <c r="F68" s="1184" t="s">
        <v>1523</v>
      </c>
    </row>
    <row r="69" spans="1:7">
      <c r="A69" s="1120"/>
      <c r="B69" s="1246">
        <f>'[42]5710 (2)'!$O$20</f>
        <v>410000</v>
      </c>
      <c r="C69" s="1182" t="s">
        <v>1524</v>
      </c>
      <c r="D69" s="944"/>
      <c r="E69" s="1183">
        <f>B69</f>
        <v>410000</v>
      </c>
      <c r="F69" s="1184" t="s">
        <v>1525</v>
      </c>
    </row>
    <row r="70" spans="1:7">
      <c r="A70" s="1120"/>
      <c r="B70" s="1246">
        <v>200000</v>
      </c>
      <c r="C70" s="1182" t="s">
        <v>1526</v>
      </c>
      <c r="D70" s="944"/>
      <c r="E70" s="1183">
        <v>200000</v>
      </c>
      <c r="F70" s="1184" t="s">
        <v>1527</v>
      </c>
    </row>
    <row r="71" spans="1:7">
      <c r="A71" s="1120"/>
      <c r="B71" s="1246">
        <v>0</v>
      </c>
      <c r="C71" s="1182" t="s">
        <v>1362</v>
      </c>
      <c r="D71" s="944"/>
      <c r="E71" s="1183">
        <v>0</v>
      </c>
      <c r="F71" s="1184" t="s">
        <v>1528</v>
      </c>
      <c r="G71" s="1247">
        <f>SUM(B67:B71)</f>
        <v>1175000</v>
      </c>
    </row>
    <row r="72" spans="1:7">
      <c r="A72" s="1178" t="s">
        <v>586</v>
      </c>
      <c r="B72" s="1245">
        <f>E72</f>
        <v>50000</v>
      </c>
      <c r="C72" s="1179" t="s">
        <v>1358</v>
      </c>
      <c r="D72" s="945"/>
      <c r="E72" s="1180">
        <v>50000</v>
      </c>
      <c r="F72" s="1181" t="s">
        <v>1529</v>
      </c>
    </row>
    <row r="73" spans="1:7">
      <c r="A73" s="1185"/>
      <c r="B73" s="1246">
        <f>E73</f>
        <v>162000</v>
      </c>
      <c r="C73" s="1182" t="s">
        <v>1356</v>
      </c>
      <c r="D73" s="944"/>
      <c r="E73" s="1183">
        <f>150000+12000</f>
        <v>162000</v>
      </c>
      <c r="F73" s="1184" t="s">
        <v>1355</v>
      </c>
    </row>
    <row r="74" spans="1:7">
      <c r="A74" s="1185"/>
      <c r="B74" s="1246">
        <f>E74</f>
        <v>50000</v>
      </c>
      <c r="C74" s="1182" t="s">
        <v>1354</v>
      </c>
      <c r="D74" s="944"/>
      <c r="E74" s="1183">
        <v>50000</v>
      </c>
      <c r="F74" s="1184" t="s">
        <v>1353</v>
      </c>
    </row>
    <row r="75" spans="1:7">
      <c r="A75" s="1126"/>
      <c r="B75" s="1248">
        <f>E75</f>
        <v>280000</v>
      </c>
      <c r="C75" s="1186" t="s">
        <v>1352</v>
      </c>
      <c r="D75" s="1187"/>
      <c r="E75" s="1188">
        <v>280000</v>
      </c>
      <c r="F75" s="1189" t="s">
        <v>1351</v>
      </c>
      <c r="G75" s="1247">
        <f>SUM(B72:B75)</f>
        <v>542000</v>
      </c>
    </row>
    <row r="76" spans="1:7">
      <c r="A76" s="1190" t="s">
        <v>1350</v>
      </c>
      <c r="B76" s="1251">
        <f>[43]Sheet1!$D$75</f>
        <v>2448608.6205000002</v>
      </c>
      <c r="C76" s="950" t="s">
        <v>1349</v>
      </c>
      <c r="D76" s="944"/>
      <c r="E76" s="954">
        <v>6500</v>
      </c>
      <c r="F76" s="1184" t="s">
        <v>1348</v>
      </c>
    </row>
    <row r="77" spans="1:7">
      <c r="A77" s="1177"/>
      <c r="B77" s="1191"/>
      <c r="C77" s="950" t="s">
        <v>1347</v>
      </c>
      <c r="D77" s="1185"/>
      <c r="E77" s="1120">
        <v>0</v>
      </c>
      <c r="F77" s="944" t="s">
        <v>1346</v>
      </c>
    </row>
    <row r="78" spans="1:7">
      <c r="A78" s="1177"/>
      <c r="B78" s="953"/>
      <c r="C78" s="1182" t="s">
        <v>1345</v>
      </c>
      <c r="D78" s="1185"/>
      <c r="E78" s="1120">
        <v>378000</v>
      </c>
      <c r="F78" s="944" t="s">
        <v>1344</v>
      </c>
    </row>
    <row r="79" spans="1:7">
      <c r="A79" s="1178" t="s">
        <v>1332</v>
      </c>
      <c r="B79" s="949"/>
      <c r="C79" s="1179" t="s">
        <v>1343</v>
      </c>
      <c r="D79" s="945"/>
      <c r="E79" s="1180">
        <v>5000</v>
      </c>
      <c r="F79" s="1181" t="s">
        <v>1342</v>
      </c>
    </row>
    <row r="80" spans="1:7">
      <c r="A80" s="475"/>
      <c r="B80" s="1191"/>
      <c r="C80" s="950" t="s">
        <v>1341</v>
      </c>
      <c r="D80" s="944"/>
      <c r="E80" s="954">
        <v>20000</v>
      </c>
      <c r="F80" s="944" t="s">
        <v>1332</v>
      </c>
    </row>
    <row r="81" spans="1:7">
      <c r="A81" s="944"/>
      <c r="B81" s="953"/>
      <c r="C81" s="950" t="s">
        <v>1340</v>
      </c>
      <c r="D81" s="944"/>
      <c r="E81" s="946">
        <v>350000</v>
      </c>
      <c r="F81" s="944" t="s">
        <v>1332</v>
      </c>
    </row>
    <row r="82" spans="1:7">
      <c r="A82" s="944"/>
      <c r="B82" s="953"/>
      <c r="C82" s="950" t="s">
        <v>1339</v>
      </c>
      <c r="D82" s="944"/>
      <c r="E82" s="946">
        <v>8000</v>
      </c>
      <c r="F82" s="944" t="s">
        <v>1332</v>
      </c>
    </row>
    <row r="83" spans="1:7">
      <c r="A83" s="944"/>
      <c r="B83" s="953"/>
      <c r="C83" s="950" t="s">
        <v>1338</v>
      </c>
      <c r="D83" s="944"/>
      <c r="E83" s="946">
        <v>0</v>
      </c>
      <c r="F83" s="944" t="s">
        <v>1332</v>
      </c>
    </row>
    <row r="84" spans="1:7">
      <c r="A84" s="954"/>
      <c r="B84" s="953"/>
      <c r="C84" s="950" t="s">
        <v>1337</v>
      </c>
      <c r="D84" s="944"/>
      <c r="E84" s="946">
        <v>2500</v>
      </c>
      <c r="F84" s="944" t="s">
        <v>1332</v>
      </c>
    </row>
    <row r="85" spans="1:7">
      <c r="A85" s="954"/>
      <c r="B85" s="953"/>
      <c r="C85" s="950" t="s">
        <v>1336</v>
      </c>
      <c r="D85" s="944"/>
      <c r="E85" s="946">
        <v>1300000</v>
      </c>
      <c r="F85" s="944" t="s">
        <v>1332</v>
      </c>
    </row>
    <row r="86" spans="1:7">
      <c r="A86" s="1192"/>
      <c r="B86" s="475"/>
      <c r="C86" s="1182" t="s">
        <v>1335</v>
      </c>
      <c r="D86" s="1193"/>
      <c r="E86" s="1120">
        <v>12000</v>
      </c>
      <c r="F86" s="944" t="s">
        <v>1332</v>
      </c>
    </row>
    <row r="87" spans="1:7">
      <c r="A87" s="954"/>
      <c r="B87" s="953"/>
      <c r="C87" s="950" t="s">
        <v>1334</v>
      </c>
      <c r="D87" s="1120"/>
      <c r="E87" s="954">
        <v>4000</v>
      </c>
      <c r="F87" s="944" t="s">
        <v>1332</v>
      </c>
    </row>
    <row r="88" spans="1:7">
      <c r="A88" s="1194"/>
      <c r="B88" s="1195"/>
      <c r="C88" s="950" t="s">
        <v>1333</v>
      </c>
      <c r="D88" s="1195"/>
      <c r="E88" s="954">
        <v>43621</v>
      </c>
      <c r="F88" s="944" t="s">
        <v>1332</v>
      </c>
    </row>
    <row r="89" spans="1:7">
      <c r="A89" s="951" t="s">
        <v>1327</v>
      </c>
      <c r="B89" s="949"/>
      <c r="C89" s="952" t="s">
        <v>1331</v>
      </c>
      <c r="D89" s="1196"/>
      <c r="E89" s="1165">
        <v>0</v>
      </c>
      <c r="F89" s="945" t="s">
        <v>1327</v>
      </c>
    </row>
    <row r="90" spans="1:7">
      <c r="A90" s="944"/>
      <c r="B90" s="953"/>
      <c r="C90" s="950" t="s">
        <v>1330</v>
      </c>
      <c r="D90" s="475"/>
      <c r="E90" s="954">
        <v>0</v>
      </c>
      <c r="F90" s="945" t="s">
        <v>1327</v>
      </c>
      <c r="G90" t="s">
        <v>1530</v>
      </c>
    </row>
    <row r="91" spans="1:7">
      <c r="A91" s="944"/>
      <c r="B91" s="953"/>
      <c r="C91" s="950" t="s">
        <v>1329</v>
      </c>
      <c r="D91" s="944"/>
      <c r="E91" s="946">
        <v>0</v>
      </c>
      <c r="F91" s="944" t="s">
        <v>1327</v>
      </c>
    </row>
    <row r="92" spans="1:7">
      <c r="A92" s="944"/>
      <c r="B92" s="953"/>
      <c r="C92" s="950" t="s">
        <v>1328</v>
      </c>
      <c r="D92" s="944"/>
      <c r="E92" s="946">
        <v>0</v>
      </c>
      <c r="F92" s="944" t="s">
        <v>1327</v>
      </c>
    </row>
    <row r="93" spans="1:7" ht="13.5" thickBot="1">
      <c r="A93" s="1197" t="s">
        <v>590</v>
      </c>
      <c r="B93" s="1252">
        <f>E93</f>
        <v>72100</v>
      </c>
      <c r="C93" s="1198" t="s">
        <v>1326</v>
      </c>
      <c r="D93" s="1199"/>
      <c r="E93" s="1200">
        <f>70000*1.03</f>
        <v>72100</v>
      </c>
      <c r="F93" s="1199"/>
    </row>
    <row r="94" spans="1:7">
      <c r="A94" s="1201" t="s">
        <v>1325</v>
      </c>
      <c r="B94" s="1122">
        <f>SUM(B2:B93)</f>
        <v>13551890.3805</v>
      </c>
      <c r="C94" s="1202"/>
      <c r="D94" s="1122">
        <f>SUM(D2:D93)</f>
        <v>1888976.45</v>
      </c>
      <c r="E94" s="1122">
        <f>SUM(E2:E93)</f>
        <v>11343926.310000001</v>
      </c>
      <c r="F94" s="1203"/>
    </row>
    <row r="95" spans="1:7">
      <c r="D95" s="475"/>
    </row>
    <row r="96" spans="1:7" ht="13.5" thickBot="1">
      <c r="D96" s="475"/>
    </row>
    <row r="97" spans="1:6">
      <c r="A97" s="1204" t="s">
        <v>834</v>
      </c>
      <c r="B97" s="1239">
        <f>SUM(E97:E99)</f>
        <v>984156.8</v>
      </c>
      <c r="C97" s="1205" t="s">
        <v>1133</v>
      </c>
      <c r="D97" s="1206"/>
      <c r="E97" s="1207">
        <f>'[40]MISC Rev'!D5+'[40]MISC Rev'!D6+'[40]MISC Rev'!D7</f>
        <v>810000</v>
      </c>
      <c r="F97" s="1205" t="s">
        <v>836</v>
      </c>
    </row>
    <row r="98" spans="1:6">
      <c r="A98" s="1208"/>
      <c r="B98" s="1240"/>
      <c r="C98" s="1209" t="s">
        <v>837</v>
      </c>
      <c r="D98" s="1210"/>
      <c r="E98" s="1211">
        <f>'[40]MISC Rev'!D3+'[40]MISC Rev'!D4</f>
        <v>80000</v>
      </c>
      <c r="F98" s="1209" t="s">
        <v>838</v>
      </c>
    </row>
    <row r="99" spans="1:6" ht="13.5" thickBot="1">
      <c r="A99" s="1212"/>
      <c r="B99" s="1241"/>
      <c r="C99" s="1213" t="s">
        <v>839</v>
      </c>
      <c r="D99" s="1214"/>
      <c r="E99" s="1215">
        <f>18546.72+46133.52+29476.56</f>
        <v>94156.800000000003</v>
      </c>
      <c r="F99" s="1213" t="s">
        <v>840</v>
      </c>
    </row>
    <row r="100" spans="1:6">
      <c r="A100" s="1208" t="s">
        <v>841</v>
      </c>
      <c r="B100" s="1238">
        <f>SUM(D100:E104)</f>
        <v>75000</v>
      </c>
      <c r="C100" s="1209" t="s">
        <v>1134</v>
      </c>
      <c r="D100" s="1210"/>
      <c r="E100" s="1211">
        <v>10000</v>
      </c>
      <c r="F100" s="1209" t="s">
        <v>845</v>
      </c>
    </row>
    <row r="101" spans="1:6">
      <c r="A101" s="1209"/>
      <c r="B101" s="1240"/>
      <c r="C101" s="1209" t="s">
        <v>1135</v>
      </c>
      <c r="D101" s="1216"/>
      <c r="E101" s="1217">
        <v>0</v>
      </c>
      <c r="F101" s="1210" t="s">
        <v>845</v>
      </c>
    </row>
    <row r="102" spans="1:6">
      <c r="A102" s="1209"/>
      <c r="B102" s="1240"/>
      <c r="C102" s="1209" t="s">
        <v>1457</v>
      </c>
      <c r="D102" s="1218">
        <v>60000</v>
      </c>
      <c r="E102" s="1219">
        <v>0</v>
      </c>
      <c r="F102" s="1209" t="s">
        <v>845</v>
      </c>
    </row>
    <row r="103" spans="1:6">
      <c r="A103" s="1209"/>
      <c r="B103" s="1240"/>
      <c r="C103" s="1209" t="s">
        <v>1458</v>
      </c>
      <c r="D103" s="1218">
        <v>5000</v>
      </c>
      <c r="E103" s="1219">
        <v>0</v>
      </c>
      <c r="F103" s="1209" t="s">
        <v>845</v>
      </c>
    </row>
    <row r="104" spans="1:6" ht="13.5" thickBot="1">
      <c r="A104" s="1213"/>
      <c r="B104" s="1241"/>
      <c r="C104" s="1213" t="s">
        <v>1459</v>
      </c>
      <c r="D104" s="1214"/>
      <c r="E104" s="1220">
        <v>0</v>
      </c>
      <c r="F104" s="1213" t="s">
        <v>1460</v>
      </c>
    </row>
    <row r="105" spans="1:6">
      <c r="A105" s="1208" t="s">
        <v>852</v>
      </c>
      <c r="B105" s="1238">
        <f>SUM(E105:E109)</f>
        <v>270500</v>
      </c>
      <c r="C105" s="1209" t="s">
        <v>853</v>
      </c>
      <c r="D105" s="1210"/>
      <c r="E105" s="1211">
        <v>20000</v>
      </c>
      <c r="F105" s="1209" t="s">
        <v>854</v>
      </c>
    </row>
    <row r="106" spans="1:6">
      <c r="A106" s="1209"/>
      <c r="B106" s="1240"/>
      <c r="C106" s="1209" t="s">
        <v>1531</v>
      </c>
      <c r="D106" s="1210"/>
      <c r="E106" s="1218">
        <f>160000</f>
        <v>160000</v>
      </c>
      <c r="F106" s="1210" t="s">
        <v>1144</v>
      </c>
    </row>
    <row r="107" spans="1:6">
      <c r="A107" s="1221"/>
      <c r="B107" s="1242"/>
      <c r="C107" s="1209" t="s">
        <v>1462</v>
      </c>
      <c r="D107" s="1210"/>
      <c r="E107" s="1211">
        <v>20500</v>
      </c>
      <c r="F107" s="1209" t="s">
        <v>860</v>
      </c>
    </row>
    <row r="108" spans="1:6">
      <c r="A108" s="1221"/>
      <c r="B108" s="1242"/>
      <c r="C108" s="1209" t="s">
        <v>1143</v>
      </c>
      <c r="D108" s="1210"/>
      <c r="E108" s="1211">
        <v>70000</v>
      </c>
      <c r="F108" s="1209" t="s">
        <v>856</v>
      </c>
    </row>
    <row r="109" spans="1:6" ht="13.5" thickBot="1">
      <c r="A109" s="1222"/>
      <c r="B109" s="1243"/>
      <c r="C109" s="1213" t="s">
        <v>1463</v>
      </c>
      <c r="D109" s="1214"/>
      <c r="E109" s="1223">
        <v>0</v>
      </c>
      <c r="F109" s="1213" t="s">
        <v>331</v>
      </c>
    </row>
    <row r="110" spans="1:6">
      <c r="B110" s="1244">
        <f>SUM(B97:B109)</f>
        <v>1329656.8</v>
      </c>
      <c r="D110" s="475"/>
    </row>
  </sheetData>
  <pageMargins left="0.25" right="0.25" top="0.75" bottom="0.5" header="0.3" footer="0.3"/>
  <pageSetup scale="91" fitToHeight="2"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347"/>
  <sheetViews>
    <sheetView workbookViewId="0"/>
  </sheetViews>
  <sheetFormatPr defaultColWidth="8.85546875" defaultRowHeight="12.75"/>
  <cols>
    <col min="1" max="1" width="20.28515625" bestFit="1" customWidth="1"/>
    <col min="2" max="2" width="20.28515625" style="229" customWidth="1"/>
    <col min="3" max="3" width="20.28515625" style="180" bestFit="1" customWidth="1"/>
    <col min="6" max="6" width="24.28515625" bestFit="1" customWidth="1"/>
    <col min="8" max="10" width="8.42578125" style="158" bestFit="1" customWidth="1"/>
    <col min="11" max="11" width="10.7109375" style="158" bestFit="1" customWidth="1"/>
    <col min="12" max="12" width="10.28515625" style="158" bestFit="1" customWidth="1"/>
    <col min="13" max="13" width="12" style="158" bestFit="1" customWidth="1"/>
    <col min="14" max="14" width="10.28515625" style="158" bestFit="1" customWidth="1"/>
  </cols>
  <sheetData>
    <row r="1" spans="1:4" ht="13.5" thickBot="1">
      <c r="C1" s="606" t="s">
        <v>728</v>
      </c>
    </row>
    <row r="2" spans="1:4">
      <c r="A2" s="607" t="s">
        <v>576</v>
      </c>
      <c r="B2" s="610" t="s">
        <v>753</v>
      </c>
      <c r="C2" s="613">
        <v>0</v>
      </c>
      <c r="D2" s="608" t="s">
        <v>754</v>
      </c>
    </row>
    <row r="3" spans="1:4">
      <c r="A3" s="609"/>
      <c r="B3" s="611" t="s">
        <v>755</v>
      </c>
      <c r="C3" s="614">
        <v>180000</v>
      </c>
      <c r="D3" s="609" t="s">
        <v>756</v>
      </c>
    </row>
    <row r="4" spans="1:4">
      <c r="A4" s="609"/>
      <c r="B4" s="611" t="s">
        <v>757</v>
      </c>
      <c r="C4" s="614">
        <v>15000</v>
      </c>
      <c r="D4" s="609" t="s">
        <v>758</v>
      </c>
    </row>
    <row r="5" spans="1:4">
      <c r="A5" s="609"/>
      <c r="B5" s="611" t="s">
        <v>759</v>
      </c>
      <c r="C5" s="614">
        <v>0</v>
      </c>
      <c r="D5" s="609" t="s">
        <v>760</v>
      </c>
    </row>
    <row r="6" spans="1:4">
      <c r="A6" s="609"/>
      <c r="B6" s="611" t="s">
        <v>761</v>
      </c>
      <c r="C6" s="614">
        <v>8000</v>
      </c>
      <c r="D6" s="609" t="s">
        <v>762</v>
      </c>
    </row>
    <row r="7" spans="1:4">
      <c r="A7" s="609"/>
      <c r="B7" s="611" t="s">
        <v>763</v>
      </c>
      <c r="C7" s="614">
        <v>0</v>
      </c>
      <c r="D7" s="609" t="s">
        <v>764</v>
      </c>
    </row>
    <row r="8" spans="1:4">
      <c r="A8" s="609"/>
      <c r="B8" s="611" t="s">
        <v>765</v>
      </c>
      <c r="C8" s="614">
        <v>17000</v>
      </c>
      <c r="D8" s="609" t="s">
        <v>766</v>
      </c>
    </row>
    <row r="9" spans="1:4">
      <c r="A9" s="609"/>
      <c r="B9" s="611" t="s">
        <v>767</v>
      </c>
      <c r="C9" s="614">
        <v>0</v>
      </c>
      <c r="D9" s="609" t="s">
        <v>768</v>
      </c>
    </row>
    <row r="10" spans="1:4">
      <c r="A10" s="609"/>
      <c r="B10" s="611" t="s">
        <v>769</v>
      </c>
      <c r="C10" s="614">
        <v>55000</v>
      </c>
      <c r="D10" s="609" t="s">
        <v>770</v>
      </c>
    </row>
    <row r="11" spans="1:4">
      <c r="A11" s="609"/>
      <c r="B11" s="611" t="s">
        <v>771</v>
      </c>
      <c r="C11" s="614">
        <v>500000</v>
      </c>
      <c r="D11" s="612" t="s">
        <v>72</v>
      </c>
    </row>
    <row r="12" spans="1:4">
      <c r="A12" s="609"/>
      <c r="B12" s="611" t="s">
        <v>772</v>
      </c>
      <c r="C12" s="614">
        <v>0</v>
      </c>
      <c r="D12" s="612" t="s">
        <v>773</v>
      </c>
    </row>
    <row r="13" spans="1:4">
      <c r="A13" s="609"/>
      <c r="B13" s="611" t="s">
        <v>774</v>
      </c>
      <c r="C13" s="614">
        <v>27000</v>
      </c>
      <c r="D13" s="612" t="s">
        <v>775</v>
      </c>
    </row>
    <row r="14" spans="1:4">
      <c r="A14" s="609"/>
      <c r="B14" s="611" t="s">
        <v>776</v>
      </c>
      <c r="C14" s="614">
        <v>80000</v>
      </c>
      <c r="D14" s="612" t="s">
        <v>301</v>
      </c>
    </row>
    <row r="15" spans="1:4">
      <c r="A15" s="609"/>
      <c r="B15" s="611" t="s">
        <v>777</v>
      </c>
      <c r="C15" s="614">
        <v>18000</v>
      </c>
      <c r="D15" s="609" t="s">
        <v>778</v>
      </c>
    </row>
    <row r="16" spans="1:4">
      <c r="A16" s="609"/>
      <c r="B16" s="611" t="s">
        <v>779</v>
      </c>
      <c r="C16" s="614">
        <v>203000</v>
      </c>
      <c r="D16" s="609" t="s">
        <v>780</v>
      </c>
    </row>
    <row r="17" spans="1:14">
      <c r="A17" s="609"/>
      <c r="B17" s="611" t="s">
        <v>781</v>
      </c>
      <c r="C17" s="614">
        <v>3000</v>
      </c>
      <c r="D17" s="609" t="s">
        <v>782</v>
      </c>
    </row>
    <row r="18" spans="1:14">
      <c r="A18" s="609"/>
      <c r="B18" s="611" t="s">
        <v>783</v>
      </c>
      <c r="C18" s="614">
        <v>57000</v>
      </c>
      <c r="D18" s="609" t="s">
        <v>784</v>
      </c>
    </row>
    <row r="19" spans="1:14">
      <c r="A19" s="609"/>
      <c r="B19" s="611" t="s">
        <v>785</v>
      </c>
      <c r="C19" s="614">
        <v>10000</v>
      </c>
      <c r="D19" s="609" t="s">
        <v>786</v>
      </c>
    </row>
    <row r="20" spans="1:14">
      <c r="A20" s="609"/>
      <c r="B20" s="611" t="s">
        <v>787</v>
      </c>
      <c r="C20" s="614">
        <v>25000</v>
      </c>
      <c r="D20" s="609" t="s">
        <v>788</v>
      </c>
    </row>
    <row r="21" spans="1:14">
      <c r="A21" s="609"/>
      <c r="B21" s="611" t="s">
        <v>789</v>
      </c>
      <c r="C21" s="615">
        <v>65000</v>
      </c>
      <c r="D21" s="609" t="s">
        <v>790</v>
      </c>
    </row>
    <row r="22" spans="1:14">
      <c r="C22" s="180">
        <f>SUM(C2:C21)</f>
        <v>1263000</v>
      </c>
    </row>
    <row r="24" spans="1:14">
      <c r="B24" s="430" t="s">
        <v>829</v>
      </c>
      <c r="C24" s="180">
        <f>+C6</f>
        <v>8000</v>
      </c>
    </row>
    <row r="25" spans="1:14">
      <c r="B25" s="430" t="s">
        <v>621</v>
      </c>
      <c r="C25" s="180">
        <f>+C8</f>
        <v>17000</v>
      </c>
    </row>
    <row r="26" spans="1:14">
      <c r="B26" s="430" t="s">
        <v>619</v>
      </c>
      <c r="C26" s="180">
        <f>+C4</f>
        <v>15000</v>
      </c>
    </row>
    <row r="27" spans="1:14">
      <c r="B27" s="430" t="s">
        <v>830</v>
      </c>
      <c r="C27" s="180">
        <f>+C16+C13+C11+C10+C3</f>
        <v>965000</v>
      </c>
    </row>
    <row r="28" spans="1:14">
      <c r="B28" s="430" t="s">
        <v>831</v>
      </c>
      <c r="C28" s="244">
        <f>+C21+C20+C19+C18+C17+C15+C14</f>
        <v>258000</v>
      </c>
    </row>
    <row r="29" spans="1:14">
      <c r="C29" s="180">
        <f>SUM(C24:C28)</f>
        <v>1263000</v>
      </c>
    </row>
    <row r="30" spans="1:14" ht="13.5" thickBot="1">
      <c r="B30"/>
      <c r="C30"/>
      <c r="H30" s="158" t="s">
        <v>428</v>
      </c>
      <c r="I30" s="158" t="s">
        <v>621</v>
      </c>
      <c r="J30" s="158" t="s">
        <v>429</v>
      </c>
      <c r="K30" s="158" t="s">
        <v>832</v>
      </c>
      <c r="L30" s="158" t="s">
        <v>623</v>
      </c>
      <c r="M30" s="158" t="s">
        <v>833</v>
      </c>
      <c r="N30" s="130" t="s">
        <v>625</v>
      </c>
    </row>
    <row r="31" spans="1:14">
      <c r="A31" s="625" t="s">
        <v>834</v>
      </c>
      <c r="B31" s="626">
        <v>400091.12</v>
      </c>
      <c r="C31" s="627" t="s">
        <v>835</v>
      </c>
      <c r="D31" s="628"/>
      <c r="E31" s="629">
        <v>168000</v>
      </c>
      <c r="F31" s="630" t="s">
        <v>836</v>
      </c>
      <c r="H31" s="158">
        <f>+$E31*H51</f>
        <v>99524.562663192948</v>
      </c>
      <c r="I31" s="158">
        <f>+$E31*I51</f>
        <v>34120.443154044864</v>
      </c>
      <c r="J31" s="158">
        <f>+$E31*J51</f>
        <v>34354.994182762188</v>
      </c>
      <c r="N31" s="158">
        <f>SUM(H31:M31)</f>
        <v>168000</v>
      </c>
    </row>
    <row r="32" spans="1:14">
      <c r="A32" s="631"/>
      <c r="B32" s="632"/>
      <c r="C32" s="633" t="s">
        <v>837</v>
      </c>
      <c r="D32" s="634"/>
      <c r="E32" s="635">
        <v>94500</v>
      </c>
      <c r="F32" s="636" t="s">
        <v>838</v>
      </c>
      <c r="I32" s="158">
        <f>+$E32*I53</f>
        <v>47027.82256997165</v>
      </c>
      <c r="J32" s="158">
        <f>+$E32*J53</f>
        <v>47472.177430028343</v>
      </c>
      <c r="N32" s="158">
        <f t="shared" ref="N32:N46" si="0">SUM(H32:M32)</f>
        <v>94500</v>
      </c>
    </row>
    <row r="33" spans="1:14" ht="13.5" thickBot="1">
      <c r="A33" s="637"/>
      <c r="B33" s="638"/>
      <c r="C33" s="639" t="s">
        <v>839</v>
      </c>
      <c r="D33" s="640"/>
      <c r="E33" s="641">
        <v>137591.12</v>
      </c>
      <c r="F33" s="642" t="s">
        <v>840</v>
      </c>
      <c r="H33" s="158">
        <f>+$E33*H55</f>
        <v>27569.288027668059</v>
      </c>
      <c r="I33" s="158">
        <f>+$E33*I55</f>
        <v>73532.955115306002</v>
      </c>
      <c r="J33" s="158">
        <f>+$E33*J55</f>
        <v>36488.876857025934</v>
      </c>
      <c r="N33" s="158">
        <f t="shared" si="0"/>
        <v>137591.12</v>
      </c>
    </row>
    <row r="34" spans="1:14">
      <c r="A34" s="631" t="s">
        <v>841</v>
      </c>
      <c r="B34" s="643">
        <v>169948.22</v>
      </c>
      <c r="C34" s="633" t="s">
        <v>842</v>
      </c>
      <c r="D34" s="634"/>
      <c r="E34" s="644">
        <v>0</v>
      </c>
      <c r="F34" s="636" t="s">
        <v>843</v>
      </c>
      <c r="N34" s="158">
        <f t="shared" si="0"/>
        <v>0</v>
      </c>
    </row>
    <row r="35" spans="1:14">
      <c r="A35" s="636"/>
      <c r="B35" s="632"/>
      <c r="C35" s="633" t="s">
        <v>844</v>
      </c>
      <c r="D35" s="645"/>
      <c r="E35" s="646">
        <v>67800</v>
      </c>
      <c r="F35" s="634" t="s">
        <v>845</v>
      </c>
      <c r="H35" s="158">
        <f>+E35</f>
        <v>67800</v>
      </c>
      <c r="N35" s="158">
        <f t="shared" si="0"/>
        <v>67800</v>
      </c>
    </row>
    <row r="36" spans="1:14">
      <c r="A36" s="636"/>
      <c r="B36" s="632"/>
      <c r="C36" s="633" t="s">
        <v>846</v>
      </c>
      <c r="D36" s="634"/>
      <c r="E36" s="647">
        <v>2750</v>
      </c>
      <c r="F36" s="636" t="s">
        <v>845</v>
      </c>
      <c r="K36" s="158">
        <f>+E36</f>
        <v>2750</v>
      </c>
      <c r="N36" s="158">
        <f t="shared" si="0"/>
        <v>2750</v>
      </c>
    </row>
    <row r="37" spans="1:14">
      <c r="A37" s="636"/>
      <c r="B37" s="632"/>
      <c r="C37" s="633" t="s">
        <v>847</v>
      </c>
      <c r="D37" s="634"/>
      <c r="E37" s="647">
        <v>25649.06</v>
      </c>
      <c r="F37" s="636" t="s">
        <v>845</v>
      </c>
      <c r="L37" s="158">
        <f>+E37</f>
        <v>25649.06</v>
      </c>
      <c r="N37" s="158">
        <f t="shared" si="0"/>
        <v>25649.06</v>
      </c>
    </row>
    <row r="38" spans="1:14">
      <c r="A38" s="636"/>
      <c r="B38" s="632"/>
      <c r="C38" s="633" t="s">
        <v>848</v>
      </c>
      <c r="E38" s="648">
        <v>41249.89</v>
      </c>
      <c r="F38" s="636" t="s">
        <v>845</v>
      </c>
      <c r="H38" s="158">
        <f>+E38</f>
        <v>41249.89</v>
      </c>
      <c r="N38" s="158">
        <f t="shared" si="0"/>
        <v>41249.89</v>
      </c>
    </row>
    <row r="39" spans="1:14">
      <c r="A39" s="636"/>
      <c r="B39" s="632"/>
      <c r="C39" s="633" t="s">
        <v>849</v>
      </c>
      <c r="D39" s="634"/>
      <c r="E39" s="647">
        <v>27000</v>
      </c>
      <c r="F39" s="636" t="s">
        <v>845</v>
      </c>
      <c r="H39" s="158">
        <f>+E39</f>
        <v>27000</v>
      </c>
      <c r="N39" s="158">
        <f t="shared" si="0"/>
        <v>27000</v>
      </c>
    </row>
    <row r="40" spans="1:14">
      <c r="A40" s="636"/>
      <c r="B40" s="632"/>
      <c r="C40" s="633" t="s">
        <v>850</v>
      </c>
      <c r="D40" s="634"/>
      <c r="E40" s="647">
        <v>5499.27</v>
      </c>
      <c r="F40" s="636" t="s">
        <v>845</v>
      </c>
      <c r="H40" s="158">
        <f>+E40</f>
        <v>5499.27</v>
      </c>
      <c r="N40" s="158">
        <f t="shared" si="0"/>
        <v>5499.27</v>
      </c>
    </row>
    <row r="41" spans="1:14" ht="13.5" thickBot="1">
      <c r="A41" s="642"/>
      <c r="B41" s="638"/>
      <c r="C41" s="639" t="s">
        <v>851</v>
      </c>
      <c r="D41" s="640"/>
      <c r="E41" s="649">
        <v>0</v>
      </c>
      <c r="F41" s="642" t="s">
        <v>845</v>
      </c>
      <c r="H41" s="158">
        <f>+E41</f>
        <v>0</v>
      </c>
      <c r="N41" s="158">
        <f t="shared" si="0"/>
        <v>0</v>
      </c>
    </row>
    <row r="42" spans="1:14">
      <c r="A42" s="631" t="s">
        <v>852</v>
      </c>
      <c r="B42" s="643">
        <v>307121.65999999997</v>
      </c>
      <c r="C42" s="633" t="s">
        <v>853</v>
      </c>
      <c r="D42" s="634"/>
      <c r="E42" s="635">
        <v>183596.66</v>
      </c>
      <c r="F42" s="636" t="s">
        <v>854</v>
      </c>
      <c r="L42" s="158">
        <f>+E42</f>
        <v>183596.66</v>
      </c>
      <c r="N42" s="158">
        <f t="shared" si="0"/>
        <v>183596.66</v>
      </c>
    </row>
    <row r="43" spans="1:14">
      <c r="A43" s="636"/>
      <c r="B43" s="632"/>
      <c r="C43" s="633" t="s">
        <v>855</v>
      </c>
      <c r="D43" s="634"/>
      <c r="E43" s="648">
        <v>70000</v>
      </c>
      <c r="F43" s="634" t="s">
        <v>856</v>
      </c>
      <c r="K43" s="158">
        <f>+E43</f>
        <v>70000</v>
      </c>
      <c r="N43" s="158">
        <f t="shared" si="0"/>
        <v>70000</v>
      </c>
    </row>
    <row r="44" spans="1:14">
      <c r="A44" s="636"/>
      <c r="B44" s="632"/>
      <c r="C44" s="633" t="s">
        <v>857</v>
      </c>
      <c r="D44" s="634"/>
      <c r="E44" s="648">
        <v>12000</v>
      </c>
      <c r="F44" s="634" t="s">
        <v>858</v>
      </c>
      <c r="I44" s="158">
        <f>+E44</f>
        <v>12000</v>
      </c>
      <c r="N44" s="158">
        <f t="shared" si="0"/>
        <v>12000</v>
      </c>
    </row>
    <row r="45" spans="1:14">
      <c r="A45" s="636"/>
      <c r="B45" s="632"/>
      <c r="C45" s="633" t="s">
        <v>859</v>
      </c>
      <c r="D45" s="634"/>
      <c r="E45" s="635">
        <v>21525</v>
      </c>
      <c r="F45" s="636" t="s">
        <v>860</v>
      </c>
      <c r="H45" s="158">
        <f>+E45</f>
        <v>21525</v>
      </c>
      <c r="N45" s="158">
        <f t="shared" si="0"/>
        <v>21525</v>
      </c>
    </row>
    <row r="46" spans="1:14">
      <c r="A46" s="636"/>
      <c r="B46" s="632"/>
      <c r="C46" s="633" t="s">
        <v>861</v>
      </c>
      <c r="D46" s="634"/>
      <c r="E46" s="635">
        <v>20000</v>
      </c>
      <c r="F46" s="636" t="s">
        <v>860</v>
      </c>
      <c r="G46" s="84"/>
      <c r="H46" s="318"/>
      <c r="I46" s="318">
        <f>+E46</f>
        <v>20000</v>
      </c>
      <c r="J46" s="318"/>
      <c r="K46" s="318"/>
      <c r="L46" s="318"/>
      <c r="M46" s="318"/>
      <c r="N46" s="158">
        <f t="shared" si="0"/>
        <v>20000</v>
      </c>
    </row>
    <row r="47" spans="1:14" ht="15">
      <c r="A47" s="650"/>
      <c r="B47" s="336">
        <f>SUM(B31:B46)</f>
        <v>877161</v>
      </c>
      <c r="C47"/>
      <c r="H47" s="158">
        <f t="shared" ref="H47:N47" si="1">SUM(H31:H46)</f>
        <v>290168.01069086103</v>
      </c>
      <c r="I47" s="158">
        <f t="shared" si="1"/>
        <v>186681.22083932252</v>
      </c>
      <c r="J47" s="158">
        <f t="shared" si="1"/>
        <v>118316.04846981645</v>
      </c>
      <c r="K47" s="158">
        <f t="shared" si="1"/>
        <v>72750</v>
      </c>
      <c r="L47" s="158">
        <f t="shared" si="1"/>
        <v>209245.72</v>
      </c>
      <c r="M47" s="158">
        <f t="shared" si="1"/>
        <v>0</v>
      </c>
      <c r="N47" s="158">
        <f t="shared" si="1"/>
        <v>877161</v>
      </c>
    </row>
    <row r="50" spans="1:14">
      <c r="F50" s="71" t="s">
        <v>862</v>
      </c>
      <c r="H50" s="158">
        <v>178748.81</v>
      </c>
      <c r="I50" s="158">
        <v>61281.24</v>
      </c>
      <c r="J50" s="158">
        <v>61702.5</v>
      </c>
      <c r="N50" s="158">
        <f>SUM(H50:M50)</f>
        <v>301732.55</v>
      </c>
    </row>
    <row r="51" spans="1:14">
      <c r="H51" s="239">
        <f>+H50/$N50</f>
        <v>0.59240811109043423</v>
      </c>
      <c r="I51" s="239">
        <f>+I50/$N50</f>
        <v>0.20309787591693373</v>
      </c>
      <c r="J51" s="239">
        <f>+J50/$N50</f>
        <v>0.20449401299263206</v>
      </c>
    </row>
    <row r="52" spans="1:14">
      <c r="F52" s="71" t="s">
        <v>863</v>
      </c>
      <c r="I52" s="158">
        <v>45872.66</v>
      </c>
      <c r="J52" s="158">
        <f>50718-4411.9</f>
        <v>46306.1</v>
      </c>
      <c r="N52" s="158">
        <f>SUM(H52:M52)</f>
        <v>92178.760000000009</v>
      </c>
    </row>
    <row r="53" spans="1:14">
      <c r="H53" s="239">
        <f>+H52/$N52</f>
        <v>0</v>
      </c>
      <c r="I53" s="239">
        <f>+I52/$N52</f>
        <v>0.49764891608435607</v>
      </c>
      <c r="J53" s="239">
        <f>+J52/$N52</f>
        <v>0.50235108391564387</v>
      </c>
    </row>
    <row r="54" spans="1:14">
      <c r="F54" s="71" t="s">
        <v>864</v>
      </c>
      <c r="H54" s="158">
        <v>365024</v>
      </c>
      <c r="I54" s="158">
        <v>973594</v>
      </c>
      <c r="J54" s="158">
        <v>483121.5</v>
      </c>
      <c r="N54" s="158">
        <f>SUM(H54:M54)</f>
        <v>1821739.5</v>
      </c>
    </row>
    <row r="55" spans="1:14">
      <c r="H55" s="239">
        <f>+H54/$N54</f>
        <v>0.20037112880299296</v>
      </c>
      <c r="I55" s="239">
        <f>+I54/$N54</f>
        <v>0.53443096556889724</v>
      </c>
      <c r="J55" s="239">
        <f>+J54/$N54</f>
        <v>0.26519790562810985</v>
      </c>
    </row>
    <row r="56" spans="1:14" ht="13.5" thickBot="1">
      <c r="A56" s="71" t="s">
        <v>903</v>
      </c>
    </row>
    <row r="57" spans="1:14">
      <c r="A57" s="666" t="s">
        <v>576</v>
      </c>
      <c r="B57" s="667" t="e">
        <f>SUM(E57:E78)</f>
        <v>#REF!</v>
      </c>
      <c r="C57" s="739" t="e">
        <f>+'[44]Expense 2012-13'!$C48</f>
        <v>#REF!</v>
      </c>
      <c r="D57" s="740"/>
      <c r="E57" s="742" t="e">
        <f>+'[44]Expense 2012-13'!$D48+'[44]Expense 2012-13'!$E48</f>
        <v>#REF!</v>
      </c>
      <c r="F57" s="741" t="e">
        <f>+'[44]Expense 2012-13'!$F48</f>
        <v>#REF!</v>
      </c>
    </row>
    <row r="58" spans="1:14">
      <c r="A58" s="671"/>
      <c r="B58" s="672"/>
      <c r="C58" s="739" t="e">
        <f>+'[44]Expense 2012-13'!$C49</f>
        <v>#REF!</v>
      </c>
      <c r="D58" s="741"/>
      <c r="E58" s="742" t="e">
        <f>+'[44]Expense 2012-13'!$D49+'[44]Expense 2012-13'!$E49</f>
        <v>#REF!</v>
      </c>
      <c r="F58" s="741" t="e">
        <f>+'[44]Expense 2012-13'!$F49</f>
        <v>#REF!</v>
      </c>
    </row>
    <row r="59" spans="1:14">
      <c r="A59" s="671"/>
      <c r="B59" s="672"/>
      <c r="C59" s="739" t="e">
        <f>+'[44]Expense 2012-13'!$C50</f>
        <v>#REF!</v>
      </c>
      <c r="D59" s="741"/>
      <c r="E59" s="742" t="e">
        <f>+'[44]Expense 2012-13'!$D50+'[44]Expense 2012-13'!$E50</f>
        <v>#REF!</v>
      </c>
      <c r="F59" s="741" t="e">
        <f>+'[44]Expense 2012-13'!$F50</f>
        <v>#REF!</v>
      </c>
    </row>
    <row r="60" spans="1:14">
      <c r="A60" s="671"/>
      <c r="B60" s="672"/>
      <c r="C60" s="739" t="e">
        <f>+'[44]Expense 2012-13'!$C51</f>
        <v>#REF!</v>
      </c>
      <c r="D60" s="741"/>
      <c r="E60" s="742" t="e">
        <f>+'[44]Expense 2012-13'!$D51+'[44]Expense 2012-13'!$E51</f>
        <v>#REF!</v>
      </c>
      <c r="F60" s="741" t="e">
        <f>+'[44]Expense 2012-13'!$F51</f>
        <v>#REF!</v>
      </c>
    </row>
    <row r="61" spans="1:14">
      <c r="A61" s="671"/>
      <c r="B61" s="672"/>
      <c r="C61" s="739" t="e">
        <f>+'[44]Expense 2012-13'!$C52</f>
        <v>#REF!</v>
      </c>
      <c r="D61" s="741"/>
      <c r="E61" s="742" t="e">
        <f>+'[44]Expense 2012-13'!$D52+'[44]Expense 2012-13'!$E52</f>
        <v>#REF!</v>
      </c>
      <c r="F61" s="741" t="e">
        <f>+'[44]Expense 2012-13'!$F52</f>
        <v>#REF!</v>
      </c>
    </row>
    <row r="62" spans="1:14">
      <c r="A62" s="671"/>
      <c r="B62" s="672"/>
      <c r="C62" s="739" t="e">
        <f>+'[44]Expense 2012-13'!$C53</f>
        <v>#REF!</v>
      </c>
      <c r="D62" s="741"/>
      <c r="E62" s="742" t="e">
        <f>+'[44]Expense 2012-13'!$D53+'[44]Expense 2012-13'!$E53</f>
        <v>#REF!</v>
      </c>
      <c r="F62" s="741" t="e">
        <f>+'[44]Expense 2012-13'!$F53</f>
        <v>#REF!</v>
      </c>
    </row>
    <row r="63" spans="1:14">
      <c r="A63" s="671"/>
      <c r="B63" s="672"/>
      <c r="C63" s="739" t="e">
        <f>+'[44]Expense 2012-13'!$C54</f>
        <v>#REF!</v>
      </c>
      <c r="D63" s="741"/>
      <c r="E63" s="742" t="e">
        <f>+'[44]Expense 2012-13'!$D54+'[44]Expense 2012-13'!$E54</f>
        <v>#REF!</v>
      </c>
      <c r="F63" s="741" t="e">
        <f>+'[44]Expense 2012-13'!$F54</f>
        <v>#REF!</v>
      </c>
    </row>
    <row r="64" spans="1:14">
      <c r="A64" s="671"/>
      <c r="B64" s="672"/>
      <c r="C64" s="739" t="e">
        <f>+'[44]Expense 2012-13'!$C55</f>
        <v>#REF!</v>
      </c>
      <c r="E64" s="742" t="e">
        <f>+'[44]Expense 2012-13'!$D55+'[44]Expense 2012-13'!$E55</f>
        <v>#REF!</v>
      </c>
      <c r="F64" s="741" t="e">
        <f>+'[44]Expense 2012-13'!$F55</f>
        <v>#REF!</v>
      </c>
    </row>
    <row r="65" spans="1:6">
      <c r="A65" s="671"/>
      <c r="B65" s="672"/>
      <c r="C65" s="739" t="e">
        <f>+'[44]Expense 2012-13'!$C56</f>
        <v>#REF!</v>
      </c>
      <c r="D65" s="741"/>
      <c r="E65" s="742" t="e">
        <f>+'[44]Expense 2012-13'!$D56+'[44]Expense 2012-13'!$E56</f>
        <v>#REF!</v>
      </c>
      <c r="F65" s="741" t="e">
        <f>+'[44]Expense 2012-13'!$F56</f>
        <v>#REF!</v>
      </c>
    </row>
    <row r="66" spans="1:6">
      <c r="A66" s="671"/>
      <c r="B66" s="672"/>
      <c r="C66" s="739" t="e">
        <f>+'[44]Expense 2012-13'!$C57</f>
        <v>#REF!</v>
      </c>
      <c r="D66" s="741"/>
      <c r="E66" s="742" t="e">
        <f>+'[44]Expense 2012-13'!$D57+'[44]Expense 2012-13'!$E57</f>
        <v>#REF!</v>
      </c>
      <c r="F66" s="741" t="e">
        <f>+'[44]Expense 2012-13'!$F57</f>
        <v>#REF!</v>
      </c>
    </row>
    <row r="67" spans="1:6">
      <c r="A67" s="671"/>
      <c r="B67" s="672"/>
      <c r="C67" s="739" t="e">
        <f>+'[44]Expense 2012-13'!$C58</f>
        <v>#REF!</v>
      </c>
      <c r="E67" s="742" t="e">
        <f>+'[44]Expense 2012-13'!$D58+'[44]Expense 2012-13'!$E58</f>
        <v>#REF!</v>
      </c>
      <c r="F67" s="741" t="e">
        <f>+'[44]Expense 2012-13'!$F58</f>
        <v>#REF!</v>
      </c>
    </row>
    <row r="68" spans="1:6">
      <c r="A68" s="671"/>
      <c r="B68" s="672"/>
      <c r="C68" s="739" t="e">
        <f>+'[44]Expense 2012-13'!$C59</f>
        <v>#REF!</v>
      </c>
      <c r="E68" s="742" t="e">
        <f>+'[44]Expense 2012-13'!$D59+'[44]Expense 2012-13'!$E59</f>
        <v>#REF!</v>
      </c>
      <c r="F68" s="741" t="e">
        <f>+'[44]Expense 2012-13'!$F59</f>
        <v>#REF!</v>
      </c>
    </row>
    <row r="69" spans="1:6">
      <c r="A69" s="671"/>
      <c r="B69" s="672"/>
      <c r="C69" s="739" t="e">
        <f>+'[44]Expense 2012-13'!$C60</f>
        <v>#REF!</v>
      </c>
      <c r="D69" s="741"/>
      <c r="E69" s="742" t="e">
        <f>+'[44]Expense 2012-13'!$D60+'[44]Expense 2012-13'!$E60</f>
        <v>#REF!</v>
      </c>
      <c r="F69" s="741" t="e">
        <f>+'[44]Expense 2012-13'!$F60</f>
        <v>#REF!</v>
      </c>
    </row>
    <row r="70" spans="1:6">
      <c r="A70" s="671"/>
      <c r="B70" s="672"/>
      <c r="C70" s="739" t="e">
        <f>+'[44]Expense 2012-13'!$C61</f>
        <v>#REF!</v>
      </c>
      <c r="D70" s="741"/>
      <c r="E70" s="742" t="e">
        <f>+'[44]Expense 2012-13'!$D61+'[44]Expense 2012-13'!$E61</f>
        <v>#REF!</v>
      </c>
      <c r="F70" s="741" t="e">
        <f>+'[44]Expense 2012-13'!$F61</f>
        <v>#REF!</v>
      </c>
    </row>
    <row r="71" spans="1:6">
      <c r="A71" s="671"/>
      <c r="B71" s="672"/>
      <c r="C71" s="739" t="e">
        <f>+'[44]Expense 2012-13'!$C62</f>
        <v>#REF!</v>
      </c>
      <c r="D71" s="741"/>
      <c r="E71" s="742" t="e">
        <f>+'[44]Expense 2012-13'!$D62+'[44]Expense 2012-13'!$E62</f>
        <v>#REF!</v>
      </c>
      <c r="F71" s="741" t="e">
        <f>+'[44]Expense 2012-13'!$F62</f>
        <v>#REF!</v>
      </c>
    </row>
    <row r="72" spans="1:6">
      <c r="A72" s="671"/>
      <c r="B72" s="672"/>
      <c r="C72" s="739" t="e">
        <f>+'[44]Expense 2012-13'!$C63</f>
        <v>#REF!</v>
      </c>
      <c r="D72" s="741"/>
      <c r="E72" s="742" t="e">
        <f>+'[44]Expense 2012-13'!$D63+'[44]Expense 2012-13'!$E63</f>
        <v>#REF!</v>
      </c>
      <c r="F72" s="741" t="e">
        <f>+'[44]Expense 2012-13'!$F63</f>
        <v>#REF!</v>
      </c>
    </row>
    <row r="73" spans="1:6">
      <c r="A73" s="671"/>
      <c r="B73" s="672"/>
      <c r="C73" s="739" t="e">
        <f>+'[44]Expense 2012-13'!$C64</f>
        <v>#REF!</v>
      </c>
      <c r="D73" s="741"/>
      <c r="E73" s="742" t="e">
        <f>+'[44]Expense 2012-13'!$D64+'[44]Expense 2012-13'!$E64</f>
        <v>#REF!</v>
      </c>
      <c r="F73" s="741" t="e">
        <f>+'[44]Expense 2012-13'!$F64</f>
        <v>#REF!</v>
      </c>
    </row>
    <row r="74" spans="1:6">
      <c r="A74" s="671"/>
      <c r="B74" s="672"/>
      <c r="C74" s="739" t="e">
        <f>+'[44]Expense 2012-13'!$C65</f>
        <v>#REF!</v>
      </c>
      <c r="D74" s="741"/>
      <c r="E74" s="742" t="e">
        <f>+'[44]Expense 2012-13'!$D65+'[44]Expense 2012-13'!$E65</f>
        <v>#REF!</v>
      </c>
      <c r="F74" s="741" t="e">
        <f>+'[44]Expense 2012-13'!$F65</f>
        <v>#REF!</v>
      </c>
    </row>
    <row r="75" spans="1:6">
      <c r="A75" s="671"/>
      <c r="B75" s="672"/>
      <c r="C75" s="739" t="e">
        <f>+'[44]Expense 2012-13'!$C66</f>
        <v>#REF!</v>
      </c>
      <c r="D75" s="741"/>
      <c r="E75" s="742" t="e">
        <f>+'[44]Expense 2012-13'!$D66+'[44]Expense 2012-13'!$E66</f>
        <v>#REF!</v>
      </c>
      <c r="F75" s="741" t="e">
        <f>+'[44]Expense 2012-13'!$F66</f>
        <v>#REF!</v>
      </c>
    </row>
    <row r="76" spans="1:6">
      <c r="A76" s="671"/>
      <c r="B76" s="672"/>
      <c r="C76" s="739" t="e">
        <f>+'[44]Expense 2012-13'!$C67</f>
        <v>#REF!</v>
      </c>
      <c r="D76" s="741"/>
      <c r="E76" s="742" t="e">
        <f>+'[44]Expense 2012-13'!$D67+'[44]Expense 2012-13'!$E67</f>
        <v>#REF!</v>
      </c>
      <c r="F76" s="741" t="e">
        <f>+'[44]Expense 2012-13'!$F67</f>
        <v>#REF!</v>
      </c>
    </row>
    <row r="77" spans="1:6">
      <c r="A77" s="671"/>
      <c r="B77" s="672"/>
      <c r="C77" s="739" t="e">
        <f>+'[44]Expense 2012-13'!$C68</f>
        <v>#REF!</v>
      </c>
      <c r="D77" s="741"/>
      <c r="E77" s="742" t="e">
        <f>+'[44]Expense 2012-13'!$D68+'[44]Expense 2012-13'!$E68</f>
        <v>#REF!</v>
      </c>
      <c r="F77" s="741" t="e">
        <f>+'[44]Expense 2012-13'!$F68</f>
        <v>#REF!</v>
      </c>
    </row>
    <row r="78" spans="1:6">
      <c r="A78" s="741"/>
      <c r="B78" s="672"/>
      <c r="C78" s="739" t="e">
        <f>+'[44]Expense 2012-13'!$C69</f>
        <v>#REF!</v>
      </c>
      <c r="D78" s="741"/>
      <c r="E78" s="742" t="e">
        <f>+'[44]Expense 2012-13'!$D69+'[44]Expense 2012-13'!$E69</f>
        <v>#REF!</v>
      </c>
      <c r="F78" s="741" t="e">
        <f>+'[44]Expense 2012-13'!$F69</f>
        <v>#REF!</v>
      </c>
    </row>
    <row r="79" spans="1:6">
      <c r="A79" s="741"/>
      <c r="B79" s="672"/>
      <c r="C79" s="739"/>
      <c r="D79" s="741"/>
      <c r="E79" s="742"/>
      <c r="F79" s="741"/>
    </row>
    <row r="80" spans="1:6" ht="15.75" thickBot="1">
      <c r="A80" s="677"/>
      <c r="B80"/>
      <c r="C80"/>
    </row>
    <row r="81" spans="1:6">
      <c r="A81" s="666" t="s">
        <v>834</v>
      </c>
      <c r="B81" s="667" t="e">
        <f>SUM(E81:E83)</f>
        <v>#REF!</v>
      </c>
      <c r="C81" s="668" t="s">
        <v>835</v>
      </c>
      <c r="D81" s="669"/>
      <c r="E81" s="732" t="e">
        <f>+'[44]Expense 2012-13'!$E26</f>
        <v>#REF!</v>
      </c>
      <c r="F81" s="670" t="s">
        <v>836</v>
      </c>
    </row>
    <row r="82" spans="1:6">
      <c r="A82" s="678"/>
      <c r="B82" s="672"/>
      <c r="C82" s="673" t="s">
        <v>837</v>
      </c>
      <c r="D82" s="674"/>
      <c r="E82" s="732" t="e">
        <f>+'[44]Expense 2012-13'!$E27</f>
        <v>#REF!</v>
      </c>
      <c r="F82" s="671" t="s">
        <v>838</v>
      </c>
    </row>
    <row r="83" spans="1:6" ht="13.5" thickBot="1">
      <c r="A83" s="679"/>
      <c r="B83" s="680"/>
      <c r="C83" s="681" t="s">
        <v>839</v>
      </c>
      <c r="D83" s="682"/>
      <c r="E83" s="732" t="e">
        <f>+'[44]Expense 2012-13'!$E28</f>
        <v>#REF!</v>
      </c>
      <c r="F83" s="683" t="s">
        <v>840</v>
      </c>
    </row>
    <row r="84" spans="1:6">
      <c r="A84" s="678" t="s">
        <v>841</v>
      </c>
      <c r="B84" s="684" t="e">
        <f>SUM(E84:E91)</f>
        <v>#REF!</v>
      </c>
      <c r="C84" s="734" t="e">
        <f>+'[44]Expense 2012-13'!$C29</f>
        <v>#REF!</v>
      </c>
      <c r="D84" s="735"/>
      <c r="E84" s="675" t="e">
        <f>+'[44]Expense 2012-13'!$E29</f>
        <v>#REF!</v>
      </c>
      <c r="F84" s="671" t="s">
        <v>843</v>
      </c>
    </row>
    <row r="85" spans="1:6">
      <c r="A85" s="671"/>
      <c r="B85" s="672"/>
      <c r="C85" s="734" t="e">
        <f>+'[44]Expense 2012-13'!$C30</f>
        <v>#REF!</v>
      </c>
      <c r="D85" s="735"/>
      <c r="E85" s="675" t="e">
        <f>+'[44]Expense 2012-13'!$E30</f>
        <v>#REF!</v>
      </c>
      <c r="F85" s="674" t="s">
        <v>845</v>
      </c>
    </row>
    <row r="86" spans="1:6">
      <c r="A86" s="671"/>
      <c r="B86" s="672"/>
      <c r="C86" s="734" t="e">
        <f>+'[44]Expense 2012-13'!$C31</f>
        <v>#REF!</v>
      </c>
      <c r="D86" s="735"/>
      <c r="E86" s="675" t="e">
        <f>+'[44]Expense 2012-13'!$E31</f>
        <v>#REF!</v>
      </c>
      <c r="F86" s="671" t="s">
        <v>845</v>
      </c>
    </row>
    <row r="87" spans="1:6">
      <c r="A87" s="671"/>
      <c r="B87" s="672"/>
      <c r="C87" s="734" t="e">
        <f>+'[44]Expense 2012-13'!$C32</f>
        <v>#REF!</v>
      </c>
      <c r="D87" s="735"/>
      <c r="E87" s="675" t="e">
        <f>+'[44]Expense 2012-13'!$E32</f>
        <v>#REF!</v>
      </c>
      <c r="F87" s="671" t="s">
        <v>845</v>
      </c>
    </row>
    <row r="88" spans="1:6">
      <c r="A88" s="671"/>
      <c r="B88" s="672"/>
      <c r="C88" s="734" t="e">
        <f>+'[44]Expense 2012-13'!$C33</f>
        <v>#REF!</v>
      </c>
      <c r="D88" s="735"/>
      <c r="E88" s="675" t="e">
        <f>+'[44]Expense 2012-13'!$D$33</f>
        <v>#REF!</v>
      </c>
      <c r="F88" s="671" t="s">
        <v>845</v>
      </c>
    </row>
    <row r="89" spans="1:6">
      <c r="A89" s="671"/>
      <c r="B89" s="672"/>
      <c r="C89" s="734" t="e">
        <f>+'[44]Expense 2012-13'!$C34</f>
        <v>#REF!</v>
      </c>
      <c r="D89" s="735"/>
      <c r="E89" s="675" t="e">
        <f>+'[44]Expense 2012-13'!$E34</f>
        <v>#REF!</v>
      </c>
      <c r="F89" s="671" t="s">
        <v>845</v>
      </c>
    </row>
    <row r="90" spans="1:6">
      <c r="A90" s="671"/>
      <c r="B90" s="672"/>
      <c r="C90" s="734" t="e">
        <f>+'[44]Expense 2012-13'!$C35</f>
        <v>#REF!</v>
      </c>
      <c r="D90" s="735"/>
      <c r="E90" s="675" t="e">
        <f>+'[44]Expense 2012-13'!$E35</f>
        <v>#REF!</v>
      </c>
      <c r="F90" s="671" t="s">
        <v>845</v>
      </c>
    </row>
    <row r="91" spans="1:6" ht="13.5" thickBot="1">
      <c r="A91" s="683"/>
      <c r="B91" s="680"/>
      <c r="C91" s="736" t="e">
        <f>+'[44]Expense 2012-13'!$C36</f>
        <v>#REF!</v>
      </c>
      <c r="D91" s="737"/>
      <c r="E91" s="738" t="e">
        <f>+'[44]Expense 2012-13'!$E36</f>
        <v>#REF!</v>
      </c>
      <c r="F91" s="683" t="s">
        <v>845</v>
      </c>
    </row>
    <row r="92" spans="1:6">
      <c r="A92" s="678" t="s">
        <v>852</v>
      </c>
      <c r="B92" s="684" t="e">
        <f>SUM(E92:E96)</f>
        <v>#REF!</v>
      </c>
      <c r="C92" s="734" t="s">
        <v>899</v>
      </c>
      <c r="D92" s="674"/>
      <c r="E92" s="675" t="e">
        <f>+'[44]Expense 2012-13'!$E37</f>
        <v>#REF!</v>
      </c>
      <c r="F92" s="671" t="s">
        <v>854</v>
      </c>
    </row>
    <row r="93" spans="1:6">
      <c r="A93" s="671"/>
      <c r="B93" s="672"/>
      <c r="C93" s="734" t="s">
        <v>900</v>
      </c>
      <c r="D93" s="674"/>
      <c r="E93" s="675" t="e">
        <f>+'[44]Expense 2012-13'!$E38</f>
        <v>#REF!</v>
      </c>
      <c r="F93" s="674" t="s">
        <v>856</v>
      </c>
    </row>
    <row r="94" spans="1:6">
      <c r="A94" s="671"/>
      <c r="B94" s="672"/>
      <c r="C94" s="734" t="s">
        <v>901</v>
      </c>
      <c r="D94" s="674"/>
      <c r="E94" s="675" t="e">
        <f>+'[44]Expense 2012-13'!$E39</f>
        <v>#REF!</v>
      </c>
      <c r="F94" s="674" t="s">
        <v>858</v>
      </c>
    </row>
    <row r="95" spans="1:6">
      <c r="A95" s="671"/>
      <c r="B95" s="672"/>
      <c r="C95" s="734" t="s">
        <v>859</v>
      </c>
      <c r="D95" s="674"/>
      <c r="E95" s="675" t="e">
        <f>+'[44]Expense 2012-13'!$E40</f>
        <v>#REF!</v>
      </c>
      <c r="F95" s="671" t="s">
        <v>860</v>
      </c>
    </row>
    <row r="96" spans="1:6">
      <c r="A96" s="671"/>
      <c r="B96" s="672"/>
      <c r="C96" s="734" t="s">
        <v>902</v>
      </c>
      <c r="D96" s="674"/>
      <c r="E96" s="675" t="e">
        <f>+'[44]Expense 2012-13'!$E41</f>
        <v>#REF!</v>
      </c>
      <c r="F96" s="671" t="s">
        <v>860</v>
      </c>
    </row>
    <row r="97" spans="1:14" ht="15.75" thickBot="1">
      <c r="A97" s="677"/>
      <c r="B97"/>
      <c r="C97"/>
    </row>
    <row r="98" spans="1:14">
      <c r="A98" s="743" t="s">
        <v>918</v>
      </c>
      <c r="B98" s="744" t="e">
        <f>SUM(E98:E101)</f>
        <v>#REF!</v>
      </c>
      <c r="C98" s="745" t="s">
        <v>919</v>
      </c>
      <c r="D98" s="746"/>
      <c r="E98" s="733" t="e">
        <f>+'[44]Expense 2012-13'!$E126</f>
        <v>#REF!</v>
      </c>
      <c r="F98" s="747"/>
      <c r="G98" s="748"/>
      <c r="H98"/>
      <c r="I98"/>
      <c r="J98"/>
      <c r="K98"/>
      <c r="L98"/>
      <c r="M98"/>
      <c r="N98"/>
    </row>
    <row r="99" spans="1:14">
      <c r="A99" s="749"/>
      <c r="B99" s="750"/>
      <c r="C99" s="751" t="s">
        <v>920</v>
      </c>
      <c r="D99" s="752"/>
      <c r="E99" s="733" t="e">
        <f>+'[44]Expense 2012-13'!$E127</f>
        <v>#REF!</v>
      </c>
      <c r="F99" s="753"/>
      <c r="G99" s="748"/>
      <c r="H99"/>
      <c r="I99"/>
      <c r="J99"/>
      <c r="K99"/>
      <c r="L99"/>
      <c r="M99"/>
      <c r="N99"/>
    </row>
    <row r="100" spans="1:14">
      <c r="A100" s="749"/>
      <c r="B100" s="750"/>
      <c r="C100" s="751" t="s">
        <v>921</v>
      </c>
      <c r="D100" s="752"/>
      <c r="E100" s="733" t="e">
        <f>+'[44]Expense 2012-13'!$E128</f>
        <v>#REF!</v>
      </c>
      <c r="F100" s="753"/>
      <c r="G100" s="748"/>
      <c r="H100"/>
      <c r="I100"/>
      <c r="J100"/>
      <c r="K100"/>
      <c r="L100"/>
      <c r="M100"/>
      <c r="N100"/>
    </row>
    <row r="101" spans="1:14" ht="13.5" thickBot="1">
      <c r="A101" s="754"/>
      <c r="B101" s="755"/>
      <c r="C101" s="756" t="s">
        <v>922</v>
      </c>
      <c r="D101" s="757"/>
      <c r="E101" s="733" t="e">
        <f>+'[44]Expense 2012-13'!$E129</f>
        <v>#REF!</v>
      </c>
      <c r="F101" s="758"/>
      <c r="G101" s="748"/>
      <c r="H101"/>
      <c r="I101"/>
      <c r="J101"/>
      <c r="K101"/>
      <c r="L101"/>
      <c r="M101"/>
      <c r="N101"/>
    </row>
    <row r="104" spans="1:14" ht="13.5" thickBot="1">
      <c r="A104" s="817" t="s">
        <v>952</v>
      </c>
      <c r="B104" s="818"/>
    </row>
    <row r="105" spans="1:14">
      <c r="A105" s="666" t="s">
        <v>576</v>
      </c>
      <c r="B105" s="667" t="e">
        <f>SUM(E105:E126)</f>
        <v>#REF!</v>
      </c>
      <c r="C105" s="943" t="e">
        <f>+C57</f>
        <v>#REF!</v>
      </c>
      <c r="D105" s="740"/>
      <c r="E105" s="773">
        <v>130000</v>
      </c>
      <c r="F105" s="741" t="e">
        <f>+F57</f>
        <v>#REF!</v>
      </c>
    </row>
    <row r="106" spans="1:14">
      <c r="A106" s="671"/>
      <c r="B106" s="672"/>
      <c r="C106" s="739" t="e">
        <f t="shared" ref="C106:C126" si="2">+C58</f>
        <v>#REF!</v>
      </c>
      <c r="D106" s="741"/>
      <c r="E106" s="773">
        <v>150000</v>
      </c>
      <c r="F106" s="741" t="e">
        <f t="shared" ref="E106:F126" si="3">+F58</f>
        <v>#REF!</v>
      </c>
    </row>
    <row r="107" spans="1:14">
      <c r="A107" s="671"/>
      <c r="B107" s="672"/>
      <c r="C107" s="739" t="e">
        <f t="shared" si="2"/>
        <v>#REF!</v>
      </c>
      <c r="D107" s="741"/>
      <c r="E107" s="773" t="e">
        <f t="shared" si="3"/>
        <v>#REF!</v>
      </c>
      <c r="F107" s="741" t="e">
        <f t="shared" si="3"/>
        <v>#REF!</v>
      </c>
    </row>
    <row r="108" spans="1:14">
      <c r="A108" s="671"/>
      <c r="B108" s="672"/>
      <c r="C108" s="739" t="e">
        <f t="shared" si="2"/>
        <v>#REF!</v>
      </c>
      <c r="D108" s="741"/>
      <c r="E108" s="742" t="e">
        <f t="shared" si="3"/>
        <v>#REF!</v>
      </c>
      <c r="F108" s="741" t="e">
        <f t="shared" si="3"/>
        <v>#REF!</v>
      </c>
    </row>
    <row r="109" spans="1:14">
      <c r="A109" s="671"/>
      <c r="B109" s="672"/>
      <c r="C109" s="739" t="e">
        <f t="shared" si="2"/>
        <v>#REF!</v>
      </c>
      <c r="D109" s="741"/>
      <c r="E109" s="773">
        <v>10000</v>
      </c>
      <c r="F109" s="741" t="e">
        <f t="shared" si="3"/>
        <v>#REF!</v>
      </c>
    </row>
    <row r="110" spans="1:14">
      <c r="A110" s="671"/>
      <c r="B110" s="672"/>
      <c r="C110" s="739" t="e">
        <f t="shared" si="2"/>
        <v>#REF!</v>
      </c>
      <c r="D110" s="741"/>
      <c r="E110" s="742" t="e">
        <f t="shared" si="3"/>
        <v>#REF!</v>
      </c>
      <c r="F110" s="741" t="e">
        <f t="shared" si="3"/>
        <v>#REF!</v>
      </c>
    </row>
    <row r="111" spans="1:14">
      <c r="A111" s="671"/>
      <c r="B111" s="672"/>
      <c r="C111" s="739" t="e">
        <f t="shared" si="2"/>
        <v>#REF!</v>
      </c>
      <c r="D111" s="741"/>
      <c r="E111" s="773">
        <v>15000</v>
      </c>
      <c r="F111" s="741" t="e">
        <f t="shared" si="3"/>
        <v>#REF!</v>
      </c>
    </row>
    <row r="112" spans="1:14">
      <c r="A112" s="671"/>
      <c r="B112" s="672"/>
      <c r="C112" s="739" t="e">
        <f t="shared" si="2"/>
        <v>#REF!</v>
      </c>
      <c r="E112" s="742" t="e">
        <f t="shared" si="3"/>
        <v>#REF!</v>
      </c>
      <c r="F112" s="741" t="e">
        <f t="shared" si="3"/>
        <v>#REF!</v>
      </c>
    </row>
    <row r="113" spans="1:6">
      <c r="A113" s="671"/>
      <c r="B113" s="672"/>
      <c r="C113" s="739" t="e">
        <f t="shared" si="2"/>
        <v>#REF!</v>
      </c>
      <c r="D113" s="741"/>
      <c r="E113" s="773">
        <v>90000</v>
      </c>
      <c r="F113" s="741" t="e">
        <f t="shared" si="3"/>
        <v>#REF!</v>
      </c>
    </row>
    <row r="114" spans="1:6">
      <c r="A114" s="671"/>
      <c r="B114" s="672"/>
      <c r="C114" s="739" t="e">
        <f t="shared" si="2"/>
        <v>#REF!</v>
      </c>
      <c r="D114" s="741"/>
      <c r="E114" s="773">
        <v>475000</v>
      </c>
      <c r="F114" s="741" t="e">
        <f t="shared" si="3"/>
        <v>#REF!</v>
      </c>
    </row>
    <row r="115" spans="1:6">
      <c r="A115" s="671"/>
      <c r="B115" s="672"/>
      <c r="C115" s="739" t="e">
        <f t="shared" si="2"/>
        <v>#REF!</v>
      </c>
      <c r="E115" s="773">
        <v>0</v>
      </c>
      <c r="F115" s="741" t="e">
        <f t="shared" si="3"/>
        <v>#REF!</v>
      </c>
    </row>
    <row r="116" spans="1:6">
      <c r="A116" s="671"/>
      <c r="B116" s="672"/>
      <c r="C116" s="739" t="e">
        <f t="shared" si="2"/>
        <v>#REF!</v>
      </c>
      <c r="E116" s="773">
        <v>600000</v>
      </c>
      <c r="F116" s="741" t="e">
        <f t="shared" si="3"/>
        <v>#REF!</v>
      </c>
    </row>
    <row r="117" spans="1:6">
      <c r="A117" s="671"/>
      <c r="B117" s="672"/>
      <c r="C117" s="739" t="e">
        <f t="shared" si="2"/>
        <v>#REF!</v>
      </c>
      <c r="D117" s="741"/>
      <c r="E117" s="742" t="e">
        <f t="shared" si="3"/>
        <v>#REF!</v>
      </c>
      <c r="F117" s="741" t="e">
        <f t="shared" si="3"/>
        <v>#REF!</v>
      </c>
    </row>
    <row r="118" spans="1:6">
      <c r="A118" s="671"/>
      <c r="B118" s="672"/>
      <c r="C118" s="739" t="e">
        <f t="shared" si="2"/>
        <v>#REF!</v>
      </c>
      <c r="D118" s="741"/>
      <c r="E118" s="742" t="e">
        <f t="shared" si="3"/>
        <v>#REF!</v>
      </c>
      <c r="F118" s="741" t="e">
        <f t="shared" si="3"/>
        <v>#REF!</v>
      </c>
    </row>
    <row r="119" spans="1:6">
      <c r="A119" s="671"/>
      <c r="B119" s="672"/>
      <c r="C119" s="739" t="e">
        <f t="shared" si="2"/>
        <v>#REF!</v>
      </c>
      <c r="D119" s="741"/>
      <c r="E119" s="742" t="e">
        <f t="shared" si="3"/>
        <v>#REF!</v>
      </c>
      <c r="F119" s="741" t="e">
        <f t="shared" si="3"/>
        <v>#REF!</v>
      </c>
    </row>
    <row r="120" spans="1:6">
      <c r="A120" s="671"/>
      <c r="B120" s="672"/>
      <c r="C120" s="739" t="e">
        <f t="shared" si="2"/>
        <v>#REF!</v>
      </c>
      <c r="D120" s="741"/>
      <c r="E120" s="742" t="e">
        <f t="shared" si="3"/>
        <v>#REF!</v>
      </c>
      <c r="F120" s="741" t="e">
        <f t="shared" si="3"/>
        <v>#REF!</v>
      </c>
    </row>
    <row r="121" spans="1:6">
      <c r="A121" s="671"/>
      <c r="B121" s="672"/>
      <c r="C121" s="739" t="e">
        <f t="shared" si="2"/>
        <v>#REF!</v>
      </c>
      <c r="D121" s="741"/>
      <c r="E121" s="742" t="e">
        <f t="shared" si="3"/>
        <v>#REF!</v>
      </c>
      <c r="F121" s="741" t="e">
        <f t="shared" si="3"/>
        <v>#REF!</v>
      </c>
    </row>
    <row r="122" spans="1:6">
      <c r="A122" s="671"/>
      <c r="B122" s="672"/>
      <c r="C122" s="739" t="e">
        <f t="shared" si="2"/>
        <v>#REF!</v>
      </c>
      <c r="D122" s="741"/>
      <c r="E122" s="742" t="e">
        <f t="shared" si="3"/>
        <v>#REF!</v>
      </c>
      <c r="F122" s="741" t="e">
        <f t="shared" si="3"/>
        <v>#REF!</v>
      </c>
    </row>
    <row r="123" spans="1:6">
      <c r="A123" s="671"/>
      <c r="B123" s="672"/>
      <c r="C123" s="739" t="e">
        <f t="shared" si="2"/>
        <v>#REF!</v>
      </c>
      <c r="D123" s="741"/>
      <c r="E123" s="742" t="e">
        <f t="shared" si="3"/>
        <v>#REF!</v>
      </c>
      <c r="F123" s="741" t="e">
        <f t="shared" si="3"/>
        <v>#REF!</v>
      </c>
    </row>
    <row r="124" spans="1:6">
      <c r="A124" s="671"/>
      <c r="B124" s="672"/>
      <c r="C124" s="739" t="e">
        <f t="shared" si="2"/>
        <v>#REF!</v>
      </c>
      <c r="D124" s="741"/>
      <c r="E124" s="742" t="e">
        <f t="shared" si="3"/>
        <v>#REF!</v>
      </c>
      <c r="F124" s="741" t="e">
        <f t="shared" si="3"/>
        <v>#REF!</v>
      </c>
    </row>
    <row r="125" spans="1:6">
      <c r="A125" s="671"/>
      <c r="B125" s="672"/>
      <c r="C125" s="739" t="e">
        <f t="shared" si="2"/>
        <v>#REF!</v>
      </c>
      <c r="D125" s="741"/>
      <c r="E125" s="742" t="e">
        <f t="shared" si="3"/>
        <v>#REF!</v>
      </c>
      <c r="F125" s="741" t="e">
        <f t="shared" si="3"/>
        <v>#REF!</v>
      </c>
    </row>
    <row r="126" spans="1:6">
      <c r="A126" s="741"/>
      <c r="B126" s="672"/>
      <c r="C126" s="739" t="e">
        <f t="shared" si="2"/>
        <v>#REF!</v>
      </c>
      <c r="D126" s="741"/>
      <c r="E126" s="742" t="e">
        <f t="shared" si="3"/>
        <v>#REF!</v>
      </c>
      <c r="F126" s="741" t="e">
        <f t="shared" si="3"/>
        <v>#REF!</v>
      </c>
    </row>
    <row r="127" spans="1:6">
      <c r="A127" s="741"/>
      <c r="B127" s="672"/>
      <c r="C127" s="739"/>
      <c r="D127" s="741"/>
      <c r="E127" s="742"/>
      <c r="F127" s="741"/>
    </row>
    <row r="128" spans="1:6" ht="15.75" thickBot="1">
      <c r="A128" s="677"/>
      <c r="B128"/>
      <c r="C128"/>
    </row>
    <row r="129" spans="1:6">
      <c r="A129" s="666" t="s">
        <v>834</v>
      </c>
      <c r="B129" s="667" t="e">
        <f>SUM(E129:E131)</f>
        <v>#REF!</v>
      </c>
      <c r="C129" s="668" t="s">
        <v>835</v>
      </c>
      <c r="D129" s="669"/>
      <c r="E129" s="773">
        <v>375000</v>
      </c>
      <c r="F129" s="670" t="s">
        <v>836</v>
      </c>
    </row>
    <row r="130" spans="1:6">
      <c r="A130" s="678"/>
      <c r="B130" s="672"/>
      <c r="C130" s="673" t="s">
        <v>837</v>
      </c>
      <c r="D130" s="674"/>
      <c r="E130" s="773" t="e">
        <f t="shared" ref="E130:E144" si="4">+E82</f>
        <v>#REF!</v>
      </c>
      <c r="F130" s="671" t="s">
        <v>838</v>
      </c>
    </row>
    <row r="131" spans="1:6" ht="13.5" thickBot="1">
      <c r="A131" s="679"/>
      <c r="B131" s="680"/>
      <c r="C131" s="681" t="s">
        <v>839</v>
      </c>
      <c r="D131" s="682"/>
      <c r="E131" s="773" t="e">
        <f t="shared" si="4"/>
        <v>#REF!</v>
      </c>
      <c r="F131" s="683" t="s">
        <v>840</v>
      </c>
    </row>
    <row r="132" spans="1:6">
      <c r="A132" s="678" t="s">
        <v>841</v>
      </c>
      <c r="B132" s="684" t="e">
        <f>SUM(E132:E139)</f>
        <v>#REF!</v>
      </c>
      <c r="C132" s="734" t="e">
        <f>+'[44]Expense 2012-13'!$C77</f>
        <v>#REF!</v>
      </c>
      <c r="D132" s="735"/>
      <c r="E132" s="742" t="e">
        <f t="shared" si="4"/>
        <v>#REF!</v>
      </c>
      <c r="F132" s="671" t="s">
        <v>843</v>
      </c>
    </row>
    <row r="133" spans="1:6">
      <c r="A133" s="671"/>
      <c r="B133" s="672"/>
      <c r="C133" s="734" t="e">
        <f>+'[44]Expense 2012-13'!$C78</f>
        <v>#REF!</v>
      </c>
      <c r="D133" s="735"/>
      <c r="E133" s="742" t="e">
        <f t="shared" si="4"/>
        <v>#REF!</v>
      </c>
      <c r="F133" s="674" t="s">
        <v>845</v>
      </c>
    </row>
    <row r="134" spans="1:6">
      <c r="A134" s="671"/>
      <c r="B134" s="672"/>
      <c r="C134" s="734" t="e">
        <f>+'[44]Expense 2012-13'!$C79</f>
        <v>#REF!</v>
      </c>
      <c r="D134" s="735"/>
      <c r="E134" s="742" t="e">
        <f t="shared" si="4"/>
        <v>#REF!</v>
      </c>
      <c r="F134" s="671" t="s">
        <v>845</v>
      </c>
    </row>
    <row r="135" spans="1:6">
      <c r="A135" s="671"/>
      <c r="B135" s="672"/>
      <c r="C135" s="734" t="e">
        <f>+'[44]Expense 2012-13'!$C80</f>
        <v>#REF!</v>
      </c>
      <c r="D135" s="735"/>
      <c r="E135" s="742" t="e">
        <f t="shared" si="4"/>
        <v>#REF!</v>
      </c>
      <c r="F135" s="671" t="s">
        <v>845</v>
      </c>
    </row>
    <row r="136" spans="1:6">
      <c r="A136" s="671"/>
      <c r="B136" s="672"/>
      <c r="C136" s="734" t="e">
        <f>+'[44]Expense 2012-13'!$C81</f>
        <v>#REF!</v>
      </c>
      <c r="D136" s="735"/>
      <c r="E136" s="742" t="e">
        <f t="shared" si="4"/>
        <v>#REF!</v>
      </c>
      <c r="F136" s="671" t="s">
        <v>845</v>
      </c>
    </row>
    <row r="137" spans="1:6">
      <c r="A137" s="671"/>
      <c r="B137" s="672"/>
      <c r="C137" s="734" t="e">
        <f>+'[44]Expense 2012-13'!$C82</f>
        <v>#REF!</v>
      </c>
      <c r="D137" s="735"/>
      <c r="E137" s="742" t="e">
        <f t="shared" si="4"/>
        <v>#REF!</v>
      </c>
      <c r="F137" s="671" t="s">
        <v>845</v>
      </c>
    </row>
    <row r="138" spans="1:6">
      <c r="A138" s="671"/>
      <c r="B138" s="672"/>
      <c r="C138" s="734" t="e">
        <f>+'[44]Expense 2012-13'!$C83</f>
        <v>#REF!</v>
      </c>
      <c r="D138" s="735"/>
      <c r="E138" s="742" t="e">
        <f t="shared" si="4"/>
        <v>#REF!</v>
      </c>
      <c r="F138" s="671" t="s">
        <v>845</v>
      </c>
    </row>
    <row r="139" spans="1:6" ht="13.5" thickBot="1">
      <c r="A139" s="683"/>
      <c r="B139" s="680"/>
      <c r="C139" s="736" t="e">
        <f>+'[44]Expense 2012-13'!$C84</f>
        <v>#REF!</v>
      </c>
      <c r="D139" s="737"/>
      <c r="E139" s="742" t="e">
        <f t="shared" si="4"/>
        <v>#REF!</v>
      </c>
      <c r="F139" s="683" t="s">
        <v>845</v>
      </c>
    </row>
    <row r="140" spans="1:6">
      <c r="A140" s="678" t="s">
        <v>852</v>
      </c>
      <c r="B140" s="684" t="e">
        <f>SUM(E140:E144)</f>
        <v>#REF!</v>
      </c>
      <c r="C140" s="734" t="s">
        <v>899</v>
      </c>
      <c r="D140" s="674"/>
      <c r="E140" s="742" t="e">
        <f t="shared" si="4"/>
        <v>#REF!</v>
      </c>
      <c r="F140" s="671" t="s">
        <v>854</v>
      </c>
    </row>
    <row r="141" spans="1:6">
      <c r="A141" s="671"/>
      <c r="B141" s="672"/>
      <c r="C141" s="734" t="s">
        <v>900</v>
      </c>
      <c r="D141" s="674"/>
      <c r="E141" s="742" t="e">
        <f t="shared" si="4"/>
        <v>#REF!</v>
      </c>
      <c r="F141" s="674" t="s">
        <v>856</v>
      </c>
    </row>
    <row r="142" spans="1:6">
      <c r="A142" s="671"/>
      <c r="B142" s="672"/>
      <c r="C142" s="734" t="s">
        <v>901</v>
      </c>
      <c r="D142" s="674"/>
      <c r="E142" s="742" t="e">
        <f t="shared" si="4"/>
        <v>#REF!</v>
      </c>
      <c r="F142" s="674" t="s">
        <v>858</v>
      </c>
    </row>
    <row r="143" spans="1:6">
      <c r="A143" s="671"/>
      <c r="B143" s="672"/>
      <c r="C143" s="734" t="s">
        <v>859</v>
      </c>
      <c r="D143" s="674"/>
      <c r="E143" s="742" t="e">
        <f t="shared" si="4"/>
        <v>#REF!</v>
      </c>
      <c r="F143" s="671" t="s">
        <v>860</v>
      </c>
    </row>
    <row r="144" spans="1:6">
      <c r="A144" s="671"/>
      <c r="B144" s="672"/>
      <c r="C144" s="734" t="s">
        <v>902</v>
      </c>
      <c r="D144" s="674"/>
      <c r="E144" s="742" t="e">
        <f t="shared" si="4"/>
        <v>#REF!</v>
      </c>
      <c r="F144" s="671" t="s">
        <v>860</v>
      </c>
    </row>
    <row r="145" spans="1:13" ht="15.75" thickBot="1">
      <c r="A145" s="677"/>
      <c r="B145"/>
      <c r="C145"/>
    </row>
    <row r="146" spans="1:13">
      <c r="A146" s="743" t="s">
        <v>918</v>
      </c>
      <c r="B146" s="744" t="e">
        <f>SUM(E146:E149)</f>
        <v>#REF!</v>
      </c>
      <c r="C146" s="745" t="s">
        <v>919</v>
      </c>
      <c r="D146" s="746"/>
      <c r="E146" s="773" t="e">
        <f>+ROUND('[15]13-14'!$B$15,)</f>
        <v>#REF!</v>
      </c>
      <c r="F146" s="747"/>
    </row>
    <row r="147" spans="1:13">
      <c r="A147" s="749"/>
      <c r="B147" s="750"/>
      <c r="C147" s="751" t="s">
        <v>920</v>
      </c>
      <c r="D147" s="752"/>
      <c r="E147" s="773" t="e">
        <f>+ROUND('[15]13-14'!$C$15,)</f>
        <v>#REF!</v>
      </c>
      <c r="F147" s="753"/>
    </row>
    <row r="148" spans="1:13">
      <c r="A148" s="749"/>
      <c r="B148" s="750"/>
      <c r="C148" s="751" t="s">
        <v>921</v>
      </c>
      <c r="D148" s="752"/>
      <c r="E148" s="773" t="e">
        <f>+ROUND('[15]13-14'!$E$15,)</f>
        <v>#REF!</v>
      </c>
      <c r="F148" s="753"/>
    </row>
    <row r="149" spans="1:13" ht="13.5" thickBot="1">
      <c r="A149" s="754"/>
      <c r="B149" s="755"/>
      <c r="C149" s="756" t="s">
        <v>922</v>
      </c>
      <c r="D149" s="757"/>
      <c r="E149" s="773" t="e">
        <f>+ROUND('[15]13-14'!$D$15,)</f>
        <v>#REF!</v>
      </c>
      <c r="F149" s="758"/>
    </row>
    <row r="152" spans="1:13" ht="13.5" thickBot="1">
      <c r="A152" s="817" t="s">
        <v>1033</v>
      </c>
      <c r="B152" s="818"/>
    </row>
    <row r="153" spans="1:13">
      <c r="A153" s="666" t="s">
        <v>576</v>
      </c>
      <c r="B153" s="863"/>
      <c r="C153" s="668" t="s">
        <v>753</v>
      </c>
      <c r="D153" s="669"/>
      <c r="E153" s="864">
        <v>230000</v>
      </c>
      <c r="F153" s="670" t="s">
        <v>1041</v>
      </c>
      <c r="I153" s="130" t="s">
        <v>1035</v>
      </c>
    </row>
    <row r="154" spans="1:13">
      <c r="A154" s="671"/>
      <c r="B154" s="868"/>
      <c r="C154" s="673" t="s">
        <v>755</v>
      </c>
      <c r="D154" s="674"/>
      <c r="E154" s="869">
        <v>30000</v>
      </c>
      <c r="F154" s="671" t="s">
        <v>756</v>
      </c>
      <c r="I154" s="130" t="s">
        <v>1037</v>
      </c>
      <c r="L154" s="158">
        <v>900000</v>
      </c>
      <c r="M154" s="130" t="s">
        <v>1036</v>
      </c>
    </row>
    <row r="155" spans="1:13" ht="13.5" thickBot="1">
      <c r="A155" s="671"/>
      <c r="B155" s="868"/>
      <c r="C155" s="673" t="s">
        <v>772</v>
      </c>
      <c r="D155" s="674"/>
      <c r="E155" s="869">
        <v>10000</v>
      </c>
      <c r="F155" s="671" t="s">
        <v>773</v>
      </c>
      <c r="I155" s="130" t="s">
        <v>1038</v>
      </c>
      <c r="L155" s="158" t="e">
        <f>+[45]Sheet1!$C$38</f>
        <v>#REF!</v>
      </c>
      <c r="M155" s="130" t="s">
        <v>1034</v>
      </c>
    </row>
    <row r="156" spans="1:13">
      <c r="A156" s="671"/>
      <c r="B156" s="868"/>
      <c r="C156" s="673" t="s">
        <v>1042</v>
      </c>
      <c r="D156" s="674"/>
      <c r="E156" s="869">
        <v>120000</v>
      </c>
      <c r="F156" s="671" t="s">
        <v>1043</v>
      </c>
      <c r="I156" s="666" t="s">
        <v>1066</v>
      </c>
      <c r="J156" s="2069"/>
      <c r="K156" s="2069"/>
      <c r="L156" s="2071"/>
      <c r="M156" s="2069"/>
    </row>
    <row r="157" spans="1:13">
      <c r="A157" s="671"/>
      <c r="B157" s="868"/>
      <c r="C157" s="673" t="s">
        <v>769</v>
      </c>
      <c r="D157" s="674"/>
      <c r="E157" s="869">
        <v>90000</v>
      </c>
      <c r="F157" s="671" t="s">
        <v>770</v>
      </c>
      <c r="I157" s="678" t="s">
        <v>780</v>
      </c>
      <c r="J157" s="2070"/>
      <c r="K157" s="2070"/>
      <c r="L157" s="2072"/>
      <c r="M157" s="2070"/>
    </row>
    <row r="158" spans="1:13">
      <c r="A158" s="671"/>
      <c r="B158" s="868"/>
      <c r="C158" s="673" t="s">
        <v>771</v>
      </c>
      <c r="D158" s="674"/>
      <c r="E158" s="869">
        <v>500000</v>
      </c>
      <c r="F158" s="671" t="s">
        <v>72</v>
      </c>
      <c r="I158" s="671"/>
      <c r="J158" s="672"/>
      <c r="K158" s="671" t="s">
        <v>1067</v>
      </c>
      <c r="L158" s="865">
        <v>75000</v>
      </c>
      <c r="M158" s="671" t="s">
        <v>1068</v>
      </c>
    </row>
    <row r="159" spans="1:13">
      <c r="A159" s="671"/>
      <c r="B159" s="868"/>
      <c r="C159" s="673" t="s">
        <v>1044</v>
      </c>
      <c r="D159" s="77"/>
      <c r="E159" s="923" t="e">
        <f>SUM([45]Sheet1!$C$6:$C$11)</f>
        <v>#REF!</v>
      </c>
      <c r="F159" s="671" t="s">
        <v>1045</v>
      </c>
      <c r="I159" s="671"/>
      <c r="J159" s="672"/>
      <c r="K159" s="671" t="s">
        <v>1069</v>
      </c>
      <c r="L159" s="865">
        <v>40000</v>
      </c>
      <c r="M159" s="671" t="s">
        <v>1070</v>
      </c>
    </row>
    <row r="160" spans="1:13">
      <c r="A160" s="671"/>
      <c r="B160" s="868"/>
      <c r="C160" s="673" t="s">
        <v>1046</v>
      </c>
      <c r="D160" s="674"/>
      <c r="E160" s="869" t="e">
        <f>SUM([45]Sheet1!$C$12:$C$25)</f>
        <v>#REF!</v>
      </c>
      <c r="F160" s="671" t="s">
        <v>1047</v>
      </c>
      <c r="I160" s="671"/>
      <c r="J160" s="672"/>
      <c r="K160" s="671" t="s">
        <v>1071</v>
      </c>
      <c r="L160" s="865">
        <v>100000</v>
      </c>
      <c r="M160" s="671" t="s">
        <v>1072</v>
      </c>
    </row>
    <row r="161" spans="1:13">
      <c r="A161" s="671"/>
      <c r="B161" s="868"/>
      <c r="C161" s="673" t="s">
        <v>774</v>
      </c>
      <c r="D161" s="674"/>
      <c r="E161" s="869">
        <v>20000</v>
      </c>
      <c r="F161" s="671" t="s">
        <v>1048</v>
      </c>
      <c r="I161" s="671"/>
      <c r="J161" s="672"/>
      <c r="K161" s="671" t="s">
        <v>1073</v>
      </c>
      <c r="L161" s="865">
        <v>200000</v>
      </c>
      <c r="M161" s="671" t="s">
        <v>1074</v>
      </c>
    </row>
    <row r="162" spans="1:13">
      <c r="A162" s="671"/>
      <c r="B162" s="868"/>
      <c r="C162" s="673" t="s">
        <v>1049</v>
      </c>
      <c r="D162" s="674"/>
      <c r="E162" s="869">
        <v>85000</v>
      </c>
      <c r="F162" s="671" t="s">
        <v>301</v>
      </c>
      <c r="I162" s="671"/>
      <c r="J162" s="672"/>
      <c r="K162" s="671" t="s">
        <v>1075</v>
      </c>
      <c r="L162" s="865">
        <v>500000</v>
      </c>
      <c r="M162" s="671" t="s">
        <v>1076</v>
      </c>
    </row>
    <row r="163" spans="1:13">
      <c r="A163" s="671"/>
      <c r="B163" s="868"/>
      <c r="C163" s="673" t="s">
        <v>777</v>
      </c>
      <c r="D163" s="674"/>
      <c r="E163" s="869">
        <v>30000</v>
      </c>
      <c r="F163" s="671" t="s">
        <v>778</v>
      </c>
      <c r="I163" s="2073"/>
      <c r="J163" s="2074"/>
      <c r="K163" s="671"/>
      <c r="L163" s="2075">
        <v>20000</v>
      </c>
      <c r="M163" s="2073" t="s">
        <v>1078</v>
      </c>
    </row>
    <row r="164" spans="1:13">
      <c r="A164" s="671"/>
      <c r="B164" s="868"/>
      <c r="C164" s="673" t="s">
        <v>1050</v>
      </c>
      <c r="D164" s="674"/>
      <c r="E164" s="869">
        <v>900000</v>
      </c>
      <c r="F164" s="671" t="s">
        <v>1051</v>
      </c>
      <c r="I164" s="2073"/>
      <c r="J164" s="2074"/>
      <c r="K164" s="671" t="s">
        <v>1077</v>
      </c>
      <c r="L164" s="2075"/>
      <c r="M164" s="2073"/>
    </row>
    <row r="165" spans="1:13">
      <c r="A165" s="671"/>
      <c r="B165" s="868"/>
      <c r="C165" s="673" t="s">
        <v>779</v>
      </c>
      <c r="D165" s="674"/>
      <c r="E165" s="878">
        <v>50000</v>
      </c>
      <c r="F165" s="671" t="s">
        <v>780</v>
      </c>
      <c r="I165" s="671"/>
      <c r="J165" s="672"/>
      <c r="K165" s="671" t="s">
        <v>1079</v>
      </c>
      <c r="L165" s="865">
        <v>35000</v>
      </c>
      <c r="M165" s="671" t="s">
        <v>1078</v>
      </c>
    </row>
    <row r="166" spans="1:13">
      <c r="A166" s="671"/>
      <c r="B166" s="868"/>
      <c r="C166" s="673" t="s">
        <v>781</v>
      </c>
      <c r="D166" s="674"/>
      <c r="E166" s="869">
        <v>5000</v>
      </c>
      <c r="F166" s="671" t="s">
        <v>782</v>
      </c>
      <c r="I166" s="671"/>
      <c r="J166" s="672"/>
      <c r="K166" s="671" t="s">
        <v>1080</v>
      </c>
      <c r="L166" s="865">
        <v>48000</v>
      </c>
      <c r="M166" s="671" t="s">
        <v>1078</v>
      </c>
    </row>
    <row r="167" spans="1:13">
      <c r="A167" s="671"/>
      <c r="B167" s="868"/>
      <c r="C167" s="673" t="s">
        <v>783</v>
      </c>
      <c r="D167" s="674"/>
      <c r="E167" s="869">
        <v>57000</v>
      </c>
      <c r="F167" s="671" t="s">
        <v>784</v>
      </c>
      <c r="I167" s="671"/>
      <c r="J167" s="672"/>
      <c r="K167" s="671"/>
      <c r="L167" s="877"/>
      <c r="M167" s="671"/>
    </row>
    <row r="168" spans="1:13">
      <c r="A168" s="671"/>
      <c r="B168" s="868"/>
      <c r="C168" s="673" t="s">
        <v>785</v>
      </c>
      <c r="D168" s="674"/>
      <c r="E168" s="869">
        <v>10000</v>
      </c>
      <c r="F168" s="671" t="s">
        <v>786</v>
      </c>
      <c r="I168" s="671"/>
      <c r="J168" s="672"/>
      <c r="K168" s="671" t="s">
        <v>1081</v>
      </c>
      <c r="L168" s="865">
        <v>300000</v>
      </c>
      <c r="M168" s="671" t="s">
        <v>1082</v>
      </c>
    </row>
    <row r="169" spans="1:13" ht="13.5" thickBot="1">
      <c r="A169" s="683"/>
      <c r="B169" s="680"/>
      <c r="C169" s="681" t="s">
        <v>789</v>
      </c>
      <c r="D169" s="682"/>
      <c r="E169" s="866">
        <v>50000</v>
      </c>
      <c r="F169" s="683" t="s">
        <v>1052</v>
      </c>
      <c r="I169" s="671"/>
      <c r="J169" s="672"/>
      <c r="K169" s="671" t="s">
        <v>1083</v>
      </c>
      <c r="L169" s="865">
        <v>185000</v>
      </c>
      <c r="M169" s="671" t="s">
        <v>1084</v>
      </c>
    </row>
    <row r="170" spans="1:13" ht="13.5" thickBot="1">
      <c r="A170" s="683"/>
      <c r="B170" s="680"/>
      <c r="C170" s="913"/>
      <c r="D170" s="880"/>
      <c r="E170" s="742">
        <v>7500</v>
      </c>
      <c r="F170" s="741" t="s">
        <v>1094</v>
      </c>
      <c r="I170" s="683"/>
      <c r="J170" s="680"/>
      <c r="K170" s="683" t="s">
        <v>1085</v>
      </c>
      <c r="L170" s="866">
        <v>15000</v>
      </c>
      <c r="M170" s="683" t="s">
        <v>1086</v>
      </c>
    </row>
    <row r="171" spans="1:13" ht="13.5" thickBot="1">
      <c r="A171" s="683"/>
      <c r="B171" s="680"/>
      <c r="C171" s="879" t="e">
        <f>+C125</f>
        <v>#REF!</v>
      </c>
      <c r="D171" s="880"/>
      <c r="E171" s="941" t="e">
        <f>+E125</f>
        <v>#REF!</v>
      </c>
      <c r="F171" s="942" t="e">
        <f>+F125</f>
        <v>#REF!</v>
      </c>
    </row>
    <row r="172" spans="1:13">
      <c r="A172" s="867" t="s">
        <v>586</v>
      </c>
      <c r="B172" s="868"/>
      <c r="C172" s="671" t="s">
        <v>1053</v>
      </c>
      <c r="D172" s="674"/>
      <c r="E172" s="869">
        <v>130000</v>
      </c>
      <c r="F172" s="870" t="s">
        <v>1054</v>
      </c>
      <c r="L172" s="158" t="e">
        <f>SUM(L154:L170)</f>
        <v>#REF!</v>
      </c>
    </row>
    <row r="173" spans="1:13">
      <c r="A173" s="867"/>
      <c r="B173" s="868"/>
      <c r="C173" s="671" t="s">
        <v>1055</v>
      </c>
      <c r="D173" s="674"/>
      <c r="E173" s="869">
        <v>50000</v>
      </c>
      <c r="F173" s="870" t="s">
        <v>1056</v>
      </c>
    </row>
    <row r="174" spans="1:13">
      <c r="A174" s="871"/>
      <c r="B174" s="872"/>
      <c r="C174" s="873" t="s">
        <v>1057</v>
      </c>
      <c r="D174" s="873"/>
      <c r="E174" s="874">
        <v>245000</v>
      </c>
      <c r="F174" s="875" t="s">
        <v>1058</v>
      </c>
    </row>
    <row r="175" spans="1:13">
      <c r="A175" s="912"/>
      <c r="B175" s="868"/>
      <c r="C175" s="674"/>
      <c r="D175" s="674"/>
      <c r="E175" s="869">
        <v>50000</v>
      </c>
      <c r="F175" s="741" t="s">
        <v>1091</v>
      </c>
    </row>
    <row r="176" spans="1:13">
      <c r="A176" s="678" t="s">
        <v>590</v>
      </c>
      <c r="B176" s="672"/>
      <c r="C176" s="673" t="s">
        <v>1059</v>
      </c>
      <c r="D176" s="674"/>
      <c r="E176" s="865">
        <v>60000</v>
      </c>
      <c r="F176" s="671" t="s">
        <v>1060</v>
      </c>
    </row>
    <row r="177" spans="1:6">
      <c r="A177" s="678" t="s">
        <v>582</v>
      </c>
      <c r="B177" s="672"/>
      <c r="C177" s="673" t="s">
        <v>1061</v>
      </c>
      <c r="D177" s="674"/>
      <c r="E177" s="865" t="e">
        <f>ROUND('[46]18000'!$H$40+300000,-3)</f>
        <v>#REF!</v>
      </c>
      <c r="F177" s="671" t="s">
        <v>1062</v>
      </c>
    </row>
    <row r="178" spans="1:6" ht="13.5" thickBot="1">
      <c r="A178" s="679" t="s">
        <v>1063</v>
      </c>
      <c r="B178" s="680"/>
      <c r="C178" s="681" t="s">
        <v>1064</v>
      </c>
      <c r="D178" s="682"/>
      <c r="E178" s="866">
        <f>600000+200000</f>
        <v>800000</v>
      </c>
      <c r="F178" s="683" t="s">
        <v>1065</v>
      </c>
    </row>
    <row r="179" spans="1:6">
      <c r="A179" s="741"/>
      <c r="B179" s="672"/>
      <c r="C179" s="739"/>
      <c r="D179" s="741"/>
    </row>
    <row r="180" spans="1:6">
      <c r="A180" s="741"/>
      <c r="B180" s="672"/>
      <c r="C180" s="739"/>
      <c r="D180" s="741"/>
      <c r="E180" s="742"/>
      <c r="F180" s="741"/>
    </row>
    <row r="181" spans="1:6">
      <c r="A181" s="741"/>
      <c r="B181" s="672"/>
      <c r="C181" s="739"/>
      <c r="D181" s="741"/>
      <c r="E181" s="742"/>
      <c r="F181" s="741"/>
    </row>
    <row r="182" spans="1:6">
      <c r="A182" s="741"/>
      <c r="B182" s="672"/>
      <c r="C182" s="739"/>
      <c r="D182" s="741"/>
      <c r="E182" s="742"/>
      <c r="F182" s="741"/>
    </row>
    <row r="183" spans="1:6">
      <c r="A183" s="741"/>
      <c r="B183" s="672"/>
      <c r="C183" s="739"/>
      <c r="D183" s="741"/>
      <c r="E183" s="742"/>
      <c r="F183" s="741"/>
    </row>
    <row r="184" spans="1:6" ht="15.75" thickBot="1">
      <c r="A184" s="677"/>
      <c r="B184"/>
      <c r="C184"/>
      <c r="E184" s="71"/>
    </row>
    <row r="185" spans="1:6">
      <c r="A185" s="666" t="s">
        <v>834</v>
      </c>
      <c r="B185" s="667" t="e">
        <f>SUM(E185:E187)</f>
        <v>#REF!</v>
      </c>
      <c r="C185" s="668" t="s">
        <v>835</v>
      </c>
      <c r="D185" s="669"/>
      <c r="E185" s="938">
        <v>375000</v>
      </c>
      <c r="F185" s="670" t="s">
        <v>836</v>
      </c>
    </row>
    <row r="186" spans="1:6">
      <c r="A186" s="678"/>
      <c r="B186" s="672"/>
      <c r="C186" s="673" t="s">
        <v>837</v>
      </c>
      <c r="D186" s="674"/>
      <c r="E186" s="742" t="e">
        <f t="shared" ref="E186:E200" si="5">+E130</f>
        <v>#REF!</v>
      </c>
      <c r="F186" s="671" t="s">
        <v>838</v>
      </c>
    </row>
    <row r="187" spans="1:6" ht="13.5" thickBot="1">
      <c r="A187" s="679"/>
      <c r="B187" s="680"/>
      <c r="C187" s="681" t="s">
        <v>839</v>
      </c>
      <c r="D187" s="682"/>
      <c r="E187" s="939" t="e">
        <f t="shared" si="5"/>
        <v>#REF!</v>
      </c>
      <c r="F187" s="683" t="s">
        <v>840</v>
      </c>
    </row>
    <row r="188" spans="1:6">
      <c r="A188" s="678" t="s">
        <v>841</v>
      </c>
      <c r="B188" s="684" t="e">
        <f>SUM(E188:E195)</f>
        <v>#REF!</v>
      </c>
      <c r="C188" s="734" t="e">
        <f>+'[44]Expense 2012-13'!$C125</f>
        <v>#REF!</v>
      </c>
      <c r="D188" s="735"/>
      <c r="E188" s="742" t="e">
        <f t="shared" si="5"/>
        <v>#REF!</v>
      </c>
      <c r="F188" s="671" t="s">
        <v>843</v>
      </c>
    </row>
    <row r="189" spans="1:6">
      <c r="A189" s="671"/>
      <c r="B189" s="672"/>
      <c r="C189" s="734" t="e">
        <f>+'[44]Expense 2012-13'!$C126</f>
        <v>#REF!</v>
      </c>
      <c r="D189" s="735"/>
      <c r="E189" s="742" t="e">
        <f t="shared" si="5"/>
        <v>#REF!</v>
      </c>
      <c r="F189" s="674" t="s">
        <v>845</v>
      </c>
    </row>
    <row r="190" spans="1:6">
      <c r="A190" s="671"/>
      <c r="B190" s="672"/>
      <c r="C190" s="734" t="e">
        <f>+'[44]Expense 2012-13'!$C127</f>
        <v>#REF!</v>
      </c>
      <c r="D190" s="735"/>
      <c r="E190" s="742" t="e">
        <f t="shared" si="5"/>
        <v>#REF!</v>
      </c>
      <c r="F190" s="671" t="s">
        <v>845</v>
      </c>
    </row>
    <row r="191" spans="1:6">
      <c r="A191" s="671"/>
      <c r="B191" s="672"/>
      <c r="C191" s="734" t="e">
        <f>+'[44]Expense 2012-13'!$C128</f>
        <v>#REF!</v>
      </c>
      <c r="D191" s="735"/>
      <c r="E191" s="742" t="e">
        <f t="shared" si="5"/>
        <v>#REF!</v>
      </c>
      <c r="F191" s="671" t="s">
        <v>845</v>
      </c>
    </row>
    <row r="192" spans="1:6">
      <c r="A192" s="671"/>
      <c r="B192" s="672"/>
      <c r="C192" s="734" t="e">
        <f>+'[44]Expense 2012-13'!$C129</f>
        <v>#REF!</v>
      </c>
      <c r="D192" s="735"/>
      <c r="E192" s="742" t="e">
        <f t="shared" si="5"/>
        <v>#REF!</v>
      </c>
      <c r="F192" s="671" t="s">
        <v>845</v>
      </c>
    </row>
    <row r="193" spans="1:6">
      <c r="A193" s="671"/>
      <c r="B193" s="672"/>
      <c r="C193" s="734" t="e">
        <f>+'[44]Expense 2012-13'!$C130</f>
        <v>#REF!</v>
      </c>
      <c r="D193" s="735"/>
      <c r="E193" s="742" t="e">
        <f t="shared" si="5"/>
        <v>#REF!</v>
      </c>
      <c r="F193" s="671" t="s">
        <v>845</v>
      </c>
    </row>
    <row r="194" spans="1:6">
      <c r="A194" s="671"/>
      <c r="B194" s="672"/>
      <c r="C194" s="734" t="e">
        <f>+'[44]Expense 2012-13'!$C131</f>
        <v>#REF!</v>
      </c>
      <c r="D194" s="735"/>
      <c r="E194" s="742" t="e">
        <f t="shared" si="5"/>
        <v>#REF!</v>
      </c>
      <c r="F194" s="671" t="s">
        <v>845</v>
      </c>
    </row>
    <row r="195" spans="1:6" ht="13.5" thickBot="1">
      <c r="A195" s="683"/>
      <c r="B195" s="680"/>
      <c r="C195" s="736" t="e">
        <f>+'[44]Expense 2012-13'!$C132</f>
        <v>#REF!</v>
      </c>
      <c r="D195" s="737"/>
      <c r="E195" s="742" t="e">
        <f t="shared" si="5"/>
        <v>#REF!</v>
      </c>
      <c r="F195" s="683" t="s">
        <v>845</v>
      </c>
    </row>
    <row r="196" spans="1:6">
      <c r="A196" s="678" t="s">
        <v>852</v>
      </c>
      <c r="B196" s="684" t="e">
        <f>SUM(E196:E200)</f>
        <v>#REF!</v>
      </c>
      <c r="C196" s="734" t="s">
        <v>899</v>
      </c>
      <c r="D196" s="674"/>
      <c r="E196" s="742" t="e">
        <f t="shared" si="5"/>
        <v>#REF!</v>
      </c>
      <c r="F196" s="671" t="s">
        <v>854</v>
      </c>
    </row>
    <row r="197" spans="1:6">
      <c r="A197" s="671"/>
      <c r="B197" s="672"/>
      <c r="C197" s="734" t="s">
        <v>900</v>
      </c>
      <c r="D197" s="674"/>
      <c r="E197" s="742" t="e">
        <f t="shared" si="5"/>
        <v>#REF!</v>
      </c>
      <c r="F197" s="674" t="s">
        <v>856</v>
      </c>
    </row>
    <row r="198" spans="1:6">
      <c r="A198" s="671"/>
      <c r="B198" s="672"/>
      <c r="C198" s="734" t="s">
        <v>901</v>
      </c>
      <c r="D198" s="674"/>
      <c r="E198" s="742" t="e">
        <f t="shared" si="5"/>
        <v>#REF!</v>
      </c>
      <c r="F198" s="674" t="s">
        <v>858</v>
      </c>
    </row>
    <row r="199" spans="1:6">
      <c r="A199" s="671"/>
      <c r="B199" s="672"/>
      <c r="C199" s="734" t="s">
        <v>859</v>
      </c>
      <c r="D199" s="674"/>
      <c r="E199" s="742" t="e">
        <f t="shared" si="5"/>
        <v>#REF!</v>
      </c>
      <c r="F199" s="671" t="s">
        <v>860</v>
      </c>
    </row>
    <row r="200" spans="1:6">
      <c r="A200" s="671"/>
      <c r="B200" s="672"/>
      <c r="C200" s="734" t="s">
        <v>902</v>
      </c>
      <c r="D200" s="674"/>
      <c r="E200" s="742" t="e">
        <f t="shared" si="5"/>
        <v>#REF!</v>
      </c>
      <c r="F200" s="671" t="s">
        <v>860</v>
      </c>
    </row>
    <row r="201" spans="1:6" ht="15.75" thickBot="1">
      <c r="A201" s="677"/>
      <c r="B201"/>
      <c r="C201"/>
      <c r="E201" s="71"/>
    </row>
    <row r="202" spans="1:6">
      <c r="A202" s="743" t="s">
        <v>918</v>
      </c>
      <c r="B202" s="744" t="e">
        <f>SUM(E202:E205)</f>
        <v>#REF!</v>
      </c>
      <c r="C202" s="745" t="s">
        <v>919</v>
      </c>
      <c r="D202" s="746"/>
      <c r="E202" s="940" t="e">
        <f>+ROUND('[15]13-14'!$B$15,)</f>
        <v>#REF!</v>
      </c>
      <c r="F202" s="747"/>
    </row>
    <row r="203" spans="1:6">
      <c r="A203" s="749"/>
      <c r="B203" s="750"/>
      <c r="C203" s="751" t="s">
        <v>920</v>
      </c>
      <c r="D203" s="752"/>
      <c r="E203" s="742" t="e">
        <f>+ROUND('[15]13-14'!$C$15,)</f>
        <v>#REF!</v>
      </c>
      <c r="F203" s="753"/>
    </row>
    <row r="204" spans="1:6">
      <c r="A204" s="749"/>
      <c r="B204" s="750"/>
      <c r="C204" s="751" t="s">
        <v>921</v>
      </c>
      <c r="D204" s="752"/>
      <c r="E204" s="742" t="e">
        <f>+ROUND('[15]13-14'!$E$15,)</f>
        <v>#REF!</v>
      </c>
      <c r="F204" s="753"/>
    </row>
    <row r="205" spans="1:6" ht="13.5" thickBot="1">
      <c r="A205" s="754"/>
      <c r="B205" s="755"/>
      <c r="C205" s="756" t="s">
        <v>922</v>
      </c>
      <c r="D205" s="757"/>
      <c r="E205" s="881" t="e">
        <f>+ROUND('[15]13-14'!$D$15,)</f>
        <v>#REF!</v>
      </c>
      <c r="F205" s="758"/>
    </row>
    <row r="206" spans="1:6">
      <c r="E206" s="71"/>
    </row>
    <row r="208" spans="1:6">
      <c r="A208" s="817" t="s">
        <v>1123</v>
      </c>
    </row>
    <row r="209" spans="1:13">
      <c r="A209" s="951" t="s">
        <v>576</v>
      </c>
      <c r="B209" s="949">
        <f>SUM(D209:E234)</f>
        <v>2245000</v>
      </c>
      <c r="C209" s="952" t="s">
        <v>753</v>
      </c>
      <c r="D209" s="945"/>
      <c r="E209" s="948">
        <v>235000</v>
      </c>
      <c r="F209" s="945" t="s">
        <v>754</v>
      </c>
      <c r="I209" s="2067" t="s">
        <v>1162</v>
      </c>
      <c r="J209" s="2067"/>
      <c r="K209" s="676"/>
      <c r="L209" s="676"/>
      <c r="M209" s="676"/>
    </row>
    <row r="210" spans="1:13">
      <c r="A210" s="944"/>
      <c r="B210" s="953"/>
      <c r="C210" s="950" t="s">
        <v>755</v>
      </c>
      <c r="D210" s="944"/>
      <c r="E210" s="946">
        <v>30000</v>
      </c>
      <c r="F210" s="944" t="s">
        <v>756</v>
      </c>
      <c r="I210" s="2067" t="s">
        <v>1158</v>
      </c>
      <c r="J210" s="2067"/>
      <c r="K210" s="676"/>
      <c r="L210" s="993">
        <v>900000</v>
      </c>
      <c r="M210" s="981" t="s">
        <v>1159</v>
      </c>
    </row>
    <row r="211" spans="1:13" ht="13.5" thickBot="1">
      <c r="A211" s="944"/>
      <c r="B211" s="953"/>
      <c r="C211" s="950" t="s">
        <v>757</v>
      </c>
      <c r="D211" s="944"/>
      <c r="E211" s="946">
        <v>0</v>
      </c>
      <c r="F211" s="944" t="s">
        <v>758</v>
      </c>
      <c r="I211" s="2068" t="s">
        <v>1160</v>
      </c>
      <c r="J211" s="2068"/>
      <c r="K211" s="676"/>
      <c r="L211" s="993"/>
      <c r="M211" s="981" t="s">
        <v>1161</v>
      </c>
    </row>
    <row r="212" spans="1:13">
      <c r="A212" s="944"/>
      <c r="B212" s="953"/>
      <c r="C212" s="950" t="s">
        <v>761</v>
      </c>
      <c r="D212" s="944"/>
      <c r="E212" s="946">
        <v>0</v>
      </c>
      <c r="F212" s="944" t="s">
        <v>762</v>
      </c>
      <c r="I212" s="982" t="s">
        <v>1066</v>
      </c>
      <c r="J212" s="2063"/>
      <c r="K212" s="2063"/>
      <c r="L212" s="2061"/>
      <c r="M212" s="2063"/>
    </row>
    <row r="213" spans="1:13">
      <c r="A213" s="944"/>
      <c r="B213" s="953"/>
      <c r="C213" s="950" t="s">
        <v>765</v>
      </c>
      <c r="D213" s="944"/>
      <c r="E213" s="946">
        <v>0</v>
      </c>
      <c r="F213" s="944" t="s">
        <v>766</v>
      </c>
      <c r="I213" s="983" t="s">
        <v>780</v>
      </c>
      <c r="J213" s="2064"/>
      <c r="K213" s="2064"/>
      <c r="L213" s="2062"/>
      <c r="M213" s="2064"/>
    </row>
    <row r="214" spans="1:13">
      <c r="A214" s="944"/>
      <c r="B214" s="953"/>
      <c r="C214" s="950" t="s">
        <v>772</v>
      </c>
      <c r="D214" s="944"/>
      <c r="E214" s="946">
        <v>10000</v>
      </c>
      <c r="F214" s="944" t="s">
        <v>773</v>
      </c>
      <c r="I214" s="984"/>
      <c r="J214" s="985"/>
      <c r="K214" s="984" t="s">
        <v>1067</v>
      </c>
      <c r="L214" s="986">
        <v>60000</v>
      </c>
      <c r="M214" s="984" t="s">
        <v>1068</v>
      </c>
    </row>
    <row r="215" spans="1:13">
      <c r="A215" s="944"/>
      <c r="B215" s="953"/>
      <c r="C215" s="950" t="s">
        <v>1124</v>
      </c>
      <c r="D215" s="944"/>
      <c r="E215" s="946">
        <v>20000</v>
      </c>
      <c r="F215" s="944" t="s">
        <v>1125</v>
      </c>
      <c r="I215" s="984"/>
      <c r="J215" s="985"/>
      <c r="K215" s="984" t="s">
        <v>1069</v>
      </c>
      <c r="L215" s="986">
        <v>30000</v>
      </c>
      <c r="M215" s="984" t="s">
        <v>1070</v>
      </c>
    </row>
    <row r="216" spans="1:13">
      <c r="A216" s="944"/>
      <c r="B216" s="953"/>
      <c r="C216" s="950" t="s">
        <v>1126</v>
      </c>
      <c r="D216" s="944"/>
      <c r="E216" s="946">
        <v>0</v>
      </c>
      <c r="F216" s="944" t="s">
        <v>1127</v>
      </c>
      <c r="I216" s="984"/>
      <c r="J216" s="985"/>
      <c r="K216" s="984" t="s">
        <v>1071</v>
      </c>
      <c r="L216" s="986">
        <v>65000</v>
      </c>
      <c r="M216" s="984" t="s">
        <v>1072</v>
      </c>
    </row>
    <row r="217" spans="1:13">
      <c r="A217" s="944"/>
      <c r="B217" s="953"/>
      <c r="C217" s="950" t="s">
        <v>1128</v>
      </c>
      <c r="D217" s="954">
        <v>0</v>
      </c>
      <c r="E217" s="946">
        <v>0</v>
      </c>
      <c r="F217" s="944" t="s">
        <v>1129</v>
      </c>
      <c r="I217" s="984"/>
      <c r="J217" s="985"/>
      <c r="K217" s="984" t="s">
        <v>1073</v>
      </c>
      <c r="L217" s="986">
        <v>150000</v>
      </c>
      <c r="M217" s="984" t="s">
        <v>1074</v>
      </c>
    </row>
    <row r="218" spans="1:13">
      <c r="A218" s="944"/>
      <c r="B218" s="953"/>
      <c r="C218" s="950" t="s">
        <v>1130</v>
      </c>
      <c r="D218" s="954">
        <v>0</v>
      </c>
      <c r="E218" s="946">
        <v>0</v>
      </c>
      <c r="F218" s="944" t="s">
        <v>1129</v>
      </c>
      <c r="I218" s="984"/>
      <c r="J218" s="985"/>
      <c r="K218" s="984" t="s">
        <v>1075</v>
      </c>
      <c r="L218" s="986">
        <v>500000</v>
      </c>
      <c r="M218" s="984" t="s">
        <v>1076</v>
      </c>
    </row>
    <row r="219" spans="1:13">
      <c r="A219" s="944"/>
      <c r="B219" s="953"/>
      <c r="C219" s="950" t="s">
        <v>1042</v>
      </c>
      <c r="D219" s="954"/>
      <c r="E219" s="946">
        <v>124000</v>
      </c>
      <c r="F219" s="944" t="s">
        <v>1131</v>
      </c>
      <c r="I219" s="2065"/>
      <c r="J219" s="2066"/>
      <c r="K219" s="987"/>
      <c r="L219" s="988"/>
      <c r="M219" s="2065" t="s">
        <v>1078</v>
      </c>
    </row>
    <row r="220" spans="1:13">
      <c r="A220" s="944"/>
      <c r="B220" s="953"/>
      <c r="C220" s="950" t="s">
        <v>769</v>
      </c>
      <c r="D220" s="944"/>
      <c r="E220" s="946">
        <v>90000</v>
      </c>
      <c r="F220" s="944" t="s">
        <v>770</v>
      </c>
      <c r="I220" s="2065"/>
      <c r="J220" s="2066"/>
      <c r="K220" s="987" t="s">
        <v>1077</v>
      </c>
      <c r="L220" s="989">
        <v>20000</v>
      </c>
      <c r="M220" s="2065"/>
    </row>
    <row r="221" spans="1:13">
      <c r="A221" s="944"/>
      <c r="B221" s="953"/>
      <c r="C221" s="950" t="s">
        <v>771</v>
      </c>
      <c r="D221" s="944"/>
      <c r="E221" s="946">
        <v>500000</v>
      </c>
      <c r="F221" s="944" t="s">
        <v>72</v>
      </c>
      <c r="I221" s="984"/>
      <c r="J221" s="985"/>
      <c r="K221" s="984" t="s">
        <v>1079</v>
      </c>
      <c r="L221" s="986">
        <v>35000</v>
      </c>
      <c r="M221" s="984" t="s">
        <v>1078</v>
      </c>
    </row>
    <row r="222" spans="1:13">
      <c r="A222" s="944"/>
      <c r="B222" s="953"/>
      <c r="C222" s="950" t="s">
        <v>1044</v>
      </c>
      <c r="D222" s="954"/>
      <c r="E222" s="946"/>
      <c r="F222" s="944" t="s">
        <v>1045</v>
      </c>
      <c r="I222" s="984"/>
      <c r="J222" s="985"/>
      <c r="K222" s="984" t="s">
        <v>1080</v>
      </c>
      <c r="L222" s="986">
        <v>45000</v>
      </c>
      <c r="M222" s="984" t="s">
        <v>1078</v>
      </c>
    </row>
    <row r="223" spans="1:13">
      <c r="A223" s="944"/>
      <c r="B223" s="953"/>
      <c r="C223" s="950" t="s">
        <v>1046</v>
      </c>
      <c r="D223" s="954"/>
      <c r="E223" s="946"/>
      <c r="F223" s="944" t="s">
        <v>1047</v>
      </c>
      <c r="I223" s="984"/>
      <c r="J223" s="985"/>
      <c r="K223" s="984"/>
      <c r="L223" s="985"/>
      <c r="M223" s="984"/>
    </row>
    <row r="224" spans="1:13">
      <c r="A224" s="944"/>
      <c r="B224" s="953"/>
      <c r="C224" s="950" t="s">
        <v>774</v>
      </c>
      <c r="D224" s="944"/>
      <c r="E224" s="946">
        <v>20000</v>
      </c>
      <c r="F224" s="944" t="s">
        <v>775</v>
      </c>
      <c r="I224" s="984"/>
      <c r="J224" s="985"/>
      <c r="K224" s="984" t="s">
        <v>1081</v>
      </c>
      <c r="L224" s="986">
        <v>300000</v>
      </c>
      <c r="M224" s="984" t="s">
        <v>1082</v>
      </c>
    </row>
    <row r="225" spans="1:13">
      <c r="A225" s="944"/>
      <c r="B225" s="953"/>
      <c r="C225" s="950" t="s">
        <v>1132</v>
      </c>
      <c r="D225" s="944"/>
      <c r="E225" s="946">
        <v>85000</v>
      </c>
      <c r="F225" s="944" t="s">
        <v>301</v>
      </c>
      <c r="I225" s="984"/>
      <c r="J225" s="985"/>
      <c r="K225" s="984" t="s">
        <v>1083</v>
      </c>
      <c r="L225" s="986">
        <v>185000</v>
      </c>
      <c r="M225" s="984" t="s">
        <v>1084</v>
      </c>
    </row>
    <row r="226" spans="1:13" ht="13.5" thickBot="1">
      <c r="A226" s="944"/>
      <c r="B226" s="953"/>
      <c r="C226" s="950" t="s">
        <v>777</v>
      </c>
      <c r="D226" s="944"/>
      <c r="E226" s="946">
        <v>30000</v>
      </c>
      <c r="F226" s="944" t="s">
        <v>778</v>
      </c>
      <c r="I226" s="990"/>
      <c r="J226" s="991"/>
      <c r="K226" s="990" t="s">
        <v>1085</v>
      </c>
      <c r="L226" s="992">
        <v>15000</v>
      </c>
      <c r="M226" s="990" t="s">
        <v>1086</v>
      </c>
    </row>
    <row r="227" spans="1:13">
      <c r="A227" s="944"/>
      <c r="B227" s="953"/>
      <c r="C227" s="950" t="s">
        <v>1050</v>
      </c>
      <c r="D227" s="944"/>
      <c r="E227" s="946">
        <v>900000</v>
      </c>
      <c r="F227" s="944" t="s">
        <v>1051</v>
      </c>
      <c r="I227" s="676"/>
      <c r="J227" s="676"/>
      <c r="K227" s="676"/>
      <c r="L227" s="676"/>
      <c r="M227" s="676"/>
    </row>
    <row r="228" spans="1:13">
      <c r="A228" s="944"/>
      <c r="B228" s="953"/>
      <c r="C228" s="950" t="s">
        <v>779</v>
      </c>
      <c r="D228" s="944"/>
      <c r="E228" s="946">
        <v>50000</v>
      </c>
      <c r="F228" s="944" t="s">
        <v>780</v>
      </c>
      <c r="I228" s="676"/>
      <c r="J228" s="676"/>
      <c r="K228" s="676"/>
      <c r="L228" s="993">
        <f>SUM(L210:L226)</f>
        <v>2305000</v>
      </c>
      <c r="M228" s="676"/>
    </row>
    <row r="229" spans="1:13">
      <c r="A229" s="944"/>
      <c r="B229" s="953"/>
      <c r="C229" s="950" t="s">
        <v>781</v>
      </c>
      <c r="D229" s="944"/>
      <c r="E229" s="946">
        <v>5000</v>
      </c>
      <c r="F229" s="944" t="s">
        <v>782</v>
      </c>
      <c r="I229" s="130" t="s">
        <v>1163</v>
      </c>
      <c r="L229" s="158">
        <f>75000000*0.011571</f>
        <v>867825</v>
      </c>
    </row>
    <row r="230" spans="1:13">
      <c r="A230" s="944"/>
      <c r="B230" s="953"/>
      <c r="C230" s="950" t="s">
        <v>783</v>
      </c>
      <c r="D230" s="944"/>
      <c r="E230" s="946">
        <v>60000</v>
      </c>
      <c r="F230" s="944" t="s">
        <v>784</v>
      </c>
      <c r="L230" s="158">
        <f>SUM(L228:L229)</f>
        <v>3172825</v>
      </c>
    </row>
    <row r="231" spans="1:13">
      <c r="A231" s="944"/>
      <c r="B231" s="953"/>
      <c r="C231" s="950" t="s">
        <v>785</v>
      </c>
      <c r="D231" s="944"/>
      <c r="E231" s="946">
        <v>11000</v>
      </c>
      <c r="F231" s="944" t="s">
        <v>786</v>
      </c>
    </row>
    <row r="232" spans="1:13">
      <c r="A232" s="944"/>
      <c r="B232" s="953"/>
      <c r="C232" s="950" t="s">
        <v>787</v>
      </c>
      <c r="D232" s="944"/>
      <c r="E232" s="946">
        <v>25000</v>
      </c>
      <c r="F232" s="944" t="s">
        <v>788</v>
      </c>
    </row>
    <row r="233" spans="1:13">
      <c r="A233" s="912"/>
      <c r="B233" s="868"/>
      <c r="C233" s="995"/>
      <c r="D233" s="674"/>
      <c r="E233" s="996">
        <v>50000</v>
      </c>
      <c r="F233" s="997" t="s">
        <v>1167</v>
      </c>
    </row>
    <row r="234" spans="1:13">
      <c r="A234" s="944"/>
      <c r="B234" s="953"/>
      <c r="C234" s="950" t="s">
        <v>789</v>
      </c>
      <c r="D234" s="944"/>
      <c r="E234" s="947">
        <v>0</v>
      </c>
      <c r="F234" s="944" t="s">
        <v>790</v>
      </c>
    </row>
    <row r="237" spans="1:13">
      <c r="A237" s="961" t="s">
        <v>834</v>
      </c>
      <c r="B237" s="974">
        <v>750000</v>
      </c>
      <c r="C237" s="962" t="s">
        <v>1133</v>
      </c>
      <c r="D237" s="970"/>
      <c r="E237" s="959">
        <v>455000</v>
      </c>
      <c r="F237" s="970" t="s">
        <v>836</v>
      </c>
    </row>
    <row r="238" spans="1:13">
      <c r="A238" s="963"/>
      <c r="B238" s="975"/>
      <c r="C238" s="960" t="s">
        <v>837</v>
      </c>
      <c r="D238" s="972"/>
      <c r="E238" s="958">
        <v>100000</v>
      </c>
      <c r="F238" s="972" t="s">
        <v>838</v>
      </c>
    </row>
    <row r="239" spans="1:13">
      <c r="A239" s="964"/>
      <c r="B239" s="965"/>
      <c r="C239" s="966" t="s">
        <v>839</v>
      </c>
      <c r="D239" s="977"/>
      <c r="E239" s="979">
        <v>195000</v>
      </c>
      <c r="F239" s="977" t="s">
        <v>840</v>
      </c>
    </row>
    <row r="240" spans="1:13">
      <c r="A240" s="963" t="s">
        <v>841</v>
      </c>
      <c r="B240" s="975">
        <v>185929</v>
      </c>
      <c r="C240" s="960" t="s">
        <v>1134</v>
      </c>
      <c r="D240" s="973"/>
      <c r="E240" s="958">
        <v>36962.339999999997</v>
      </c>
      <c r="F240" s="972" t="s">
        <v>845</v>
      </c>
    </row>
    <row r="241" spans="1:7">
      <c r="A241" s="972"/>
      <c r="B241" s="975"/>
      <c r="C241" s="960" t="s">
        <v>1135</v>
      </c>
      <c r="D241" s="976"/>
      <c r="E241" s="973">
        <v>25000</v>
      </c>
      <c r="F241" s="972" t="s">
        <v>845</v>
      </c>
    </row>
    <row r="242" spans="1:7">
      <c r="A242" s="972"/>
      <c r="B242" s="975"/>
      <c r="C242" s="960" t="s">
        <v>1136</v>
      </c>
      <c r="D242" s="973"/>
      <c r="E242" s="968">
        <v>5000</v>
      </c>
      <c r="F242" s="972" t="s">
        <v>845</v>
      </c>
    </row>
    <row r="243" spans="1:7">
      <c r="A243" s="972"/>
      <c r="B243" s="975"/>
      <c r="C243" s="960" t="s">
        <v>1137</v>
      </c>
      <c r="D243" s="973"/>
      <c r="E243" s="968">
        <v>26900</v>
      </c>
      <c r="F243" s="972" t="s">
        <v>845</v>
      </c>
    </row>
    <row r="244" spans="1:7">
      <c r="A244" s="972"/>
      <c r="B244" s="975"/>
      <c r="C244" s="960" t="s">
        <v>1138</v>
      </c>
      <c r="D244" s="973">
        <v>28707.84</v>
      </c>
      <c r="E244" s="968">
        <v>0</v>
      </c>
      <c r="F244" s="972" t="s">
        <v>845</v>
      </c>
    </row>
    <row r="245" spans="1:7">
      <c r="A245" s="972"/>
      <c r="B245" s="975"/>
      <c r="C245" s="960" t="s">
        <v>1139</v>
      </c>
      <c r="D245" s="973">
        <v>3358.82</v>
      </c>
      <c r="E245" s="968">
        <v>0</v>
      </c>
      <c r="F245" s="972" t="s">
        <v>845</v>
      </c>
    </row>
    <row r="246" spans="1:7">
      <c r="A246" s="967"/>
      <c r="B246" s="965"/>
      <c r="C246" s="966" t="s">
        <v>1140</v>
      </c>
      <c r="D246" s="967"/>
      <c r="E246" s="969">
        <v>60000</v>
      </c>
      <c r="F246" s="977" t="s">
        <v>845</v>
      </c>
    </row>
    <row r="247" spans="1:7">
      <c r="A247" s="963" t="s">
        <v>852</v>
      </c>
      <c r="B247" s="975">
        <v>136728.93</v>
      </c>
      <c r="C247" s="960" t="s">
        <v>899</v>
      </c>
      <c r="D247" s="972"/>
      <c r="E247" s="958">
        <v>1728.93</v>
      </c>
      <c r="F247" s="972" t="s">
        <v>1141</v>
      </c>
    </row>
    <row r="248" spans="1:7">
      <c r="A248" s="972"/>
      <c r="B248" s="975"/>
      <c r="C248" s="960" t="s">
        <v>1142</v>
      </c>
      <c r="D248" s="973">
        <v>0</v>
      </c>
      <c r="E248" s="973">
        <v>0</v>
      </c>
      <c r="F248" s="972" t="s">
        <v>860</v>
      </c>
    </row>
    <row r="249" spans="1:7">
      <c r="A249" s="972"/>
      <c r="B249" s="975"/>
      <c r="C249" s="960" t="s">
        <v>1143</v>
      </c>
      <c r="D249" s="973"/>
      <c r="E249" s="973">
        <v>60000</v>
      </c>
      <c r="F249" s="972" t="s">
        <v>856</v>
      </c>
    </row>
    <row r="250" spans="1:7">
      <c r="A250" s="972"/>
      <c r="B250" s="975"/>
      <c r="C250" s="960" t="s">
        <v>901</v>
      </c>
      <c r="D250" s="973"/>
      <c r="E250" s="973">
        <v>25000</v>
      </c>
      <c r="F250" s="972" t="s">
        <v>1144</v>
      </c>
    </row>
    <row r="251" spans="1:7">
      <c r="A251" s="972"/>
      <c r="B251" s="975"/>
      <c r="C251" s="960" t="s">
        <v>859</v>
      </c>
      <c r="D251" s="972"/>
      <c r="E251" s="958">
        <v>25000</v>
      </c>
      <c r="F251" s="972" t="s">
        <v>860</v>
      </c>
    </row>
    <row r="252" spans="1:7">
      <c r="A252" s="972"/>
      <c r="B252" s="975"/>
      <c r="C252" s="960" t="s">
        <v>1145</v>
      </c>
      <c r="D252" s="972"/>
      <c r="E252" s="958">
        <v>25000</v>
      </c>
      <c r="F252" s="972" t="s">
        <v>331</v>
      </c>
    </row>
    <row r="253" spans="1:7">
      <c r="A253" s="961" t="s">
        <v>918</v>
      </c>
      <c r="B253" s="974" t="e">
        <f>SUM(D253:E256)</f>
        <v>#REF!</v>
      </c>
      <c r="C253" s="962" t="s">
        <v>1146</v>
      </c>
      <c r="D253" s="971" t="e">
        <f>+'[10]15-16'!$E$15</f>
        <v>#REF!</v>
      </c>
      <c r="E253" s="959">
        <v>0</v>
      </c>
      <c r="F253" s="970" t="s">
        <v>1147</v>
      </c>
      <c r="G253" t="s">
        <v>1156</v>
      </c>
    </row>
    <row r="254" spans="1:7">
      <c r="A254" s="972"/>
      <c r="B254" s="975"/>
      <c r="C254" s="960" t="s">
        <v>1148</v>
      </c>
      <c r="D254" s="978" t="e">
        <f>+ROUND('[10]15-16'!$D$15,)</f>
        <v>#REF!</v>
      </c>
      <c r="E254" s="973">
        <v>0</v>
      </c>
      <c r="F254" s="972" t="s">
        <v>1149</v>
      </c>
      <c r="G254" t="s">
        <v>1157</v>
      </c>
    </row>
    <row r="255" spans="1:7">
      <c r="A255" s="972"/>
      <c r="B255" s="975"/>
      <c r="C255" s="960" t="s">
        <v>1150</v>
      </c>
      <c r="D255" s="973" t="e">
        <f>+ROUND('[10]15-16'!$B$15,)</f>
        <v>#REF!</v>
      </c>
      <c r="E255" s="958">
        <v>0</v>
      </c>
      <c r="F255" s="972" t="s">
        <v>1151</v>
      </c>
    </row>
    <row r="256" spans="1:7">
      <c r="A256" s="972"/>
      <c r="B256" s="975"/>
      <c r="C256" s="960" t="s">
        <v>1152</v>
      </c>
      <c r="D256" s="958" t="e">
        <f>+ROUND('[10]15-16'!$C$15,)</f>
        <v>#REF!</v>
      </c>
      <c r="E256" s="973">
        <v>0</v>
      </c>
      <c r="F256" s="972" t="s">
        <v>1153</v>
      </c>
    </row>
    <row r="257" spans="1:6">
      <c r="F257" s="587"/>
    </row>
    <row r="258" spans="1:6">
      <c r="F258" s="587"/>
    </row>
    <row r="259" spans="1:6">
      <c r="A259" s="867" t="s">
        <v>586</v>
      </c>
      <c r="B259" s="980">
        <f>SUM(E259:E263)</f>
        <v>498000</v>
      </c>
      <c r="C259" s="924" t="s">
        <v>1053</v>
      </c>
      <c r="D259" s="674"/>
      <c r="E259" s="869">
        <v>130000</v>
      </c>
      <c r="F259" s="870" t="s">
        <v>1054</v>
      </c>
    </row>
    <row r="260" spans="1:6">
      <c r="A260" s="867"/>
      <c r="B260" s="868"/>
      <c r="C260" s="924" t="s">
        <v>1055</v>
      </c>
      <c r="D260" s="674"/>
      <c r="E260" s="869">
        <v>50000</v>
      </c>
      <c r="F260" s="870" t="s">
        <v>1154</v>
      </c>
    </row>
    <row r="261" spans="1:6">
      <c r="A261" s="867"/>
      <c r="B261" s="912"/>
      <c r="C261" s="674" t="s">
        <v>1057</v>
      </c>
      <c r="D261" s="674"/>
      <c r="E261" s="957">
        <v>245000</v>
      </c>
      <c r="F261" s="956" t="s">
        <v>1058</v>
      </c>
    </row>
    <row r="262" spans="1:6">
      <c r="A262" s="912"/>
      <c r="B262" s="868"/>
      <c r="C262" s="674"/>
      <c r="D262" s="674"/>
      <c r="E262" s="869">
        <v>23000</v>
      </c>
      <c r="F262" s="956" t="s">
        <v>1165</v>
      </c>
    </row>
    <row r="263" spans="1:6">
      <c r="A263" s="912"/>
      <c r="B263" s="868"/>
      <c r="C263" s="924"/>
      <c r="D263" s="674"/>
      <c r="E263" s="869">
        <v>50000</v>
      </c>
      <c r="F263" s="870" t="s">
        <v>1091</v>
      </c>
    </row>
    <row r="264" spans="1:6">
      <c r="A264" s="925" t="s">
        <v>590</v>
      </c>
      <c r="B264" s="672"/>
      <c r="C264" s="673" t="s">
        <v>1059</v>
      </c>
      <c r="D264" s="674"/>
      <c r="E264" s="865">
        <v>60000</v>
      </c>
      <c r="F264" s="870" t="s">
        <v>1060</v>
      </c>
    </row>
    <row r="265" spans="1:6">
      <c r="A265" s="925" t="s">
        <v>582</v>
      </c>
      <c r="B265" s="672"/>
      <c r="C265" s="673" t="s">
        <v>1061</v>
      </c>
      <c r="D265" s="674"/>
      <c r="E265" s="865">
        <v>1000000</v>
      </c>
      <c r="F265" s="870" t="s">
        <v>1062</v>
      </c>
    </row>
    <row r="266" spans="1:6" ht="13.5" thickBot="1">
      <c r="A266" s="679" t="s">
        <v>1063</v>
      </c>
      <c r="B266" s="680"/>
      <c r="C266" s="681" t="s">
        <v>1064</v>
      </c>
      <c r="D266" s="682"/>
      <c r="E266" s="866">
        <f>600000+1000000</f>
        <v>1600000</v>
      </c>
      <c r="F266" s="955" t="s">
        <v>1155</v>
      </c>
    </row>
    <row r="269" spans="1:6">
      <c r="A269" s="1021" t="s">
        <v>1214</v>
      </c>
    </row>
    <row r="270" spans="1:6" ht="15">
      <c r="A270" s="677" t="s">
        <v>1195</v>
      </c>
      <c r="B270"/>
      <c r="C270"/>
    </row>
    <row r="271" spans="1:6" ht="15.75" thickBot="1">
      <c r="A271" s="677"/>
      <c r="B271"/>
      <c r="C271"/>
    </row>
    <row r="272" spans="1:6" ht="15.75" thickBot="1">
      <c r="A272" s="1014" t="s">
        <v>1196</v>
      </c>
      <c r="B272" s="1015" t="s">
        <v>1197</v>
      </c>
      <c r="C272" s="1015" t="s">
        <v>1198</v>
      </c>
      <c r="D272" s="1015" t="s">
        <v>1199</v>
      </c>
      <c r="E272" s="1015" t="s">
        <v>1200</v>
      </c>
    </row>
    <row r="273" spans="1:13" ht="15.75" thickBot="1">
      <c r="A273" s="1016" t="s">
        <v>1201</v>
      </c>
      <c r="B273" s="1017" t="s">
        <v>1202</v>
      </c>
      <c r="C273" s="1018"/>
      <c r="D273" s="1017">
        <v>45000</v>
      </c>
      <c r="E273" s="1018"/>
    </row>
    <row r="274" spans="1:13" ht="15.75" thickBot="1">
      <c r="A274" s="1016" t="s">
        <v>1203</v>
      </c>
      <c r="B274" s="1017" t="s">
        <v>1204</v>
      </c>
      <c r="C274" s="1018"/>
      <c r="D274" s="1017">
        <v>47000</v>
      </c>
      <c r="E274" s="1018" t="s">
        <v>1205</v>
      </c>
    </row>
    <row r="275" spans="1:13" ht="15.75" thickBot="1">
      <c r="A275" s="1016" t="s">
        <v>1206</v>
      </c>
      <c r="B275" s="1017" t="s">
        <v>1207</v>
      </c>
      <c r="C275" s="1018"/>
      <c r="D275" s="1017" t="s">
        <v>1208</v>
      </c>
      <c r="E275" s="1018"/>
    </row>
    <row r="276" spans="1:13" ht="15.75" thickBot="1">
      <c r="A276" s="1016" t="s">
        <v>1209</v>
      </c>
      <c r="B276" s="1017" t="s">
        <v>1202</v>
      </c>
      <c r="C276" s="1018" t="s">
        <v>1206</v>
      </c>
      <c r="D276" s="1017" t="s">
        <v>1208</v>
      </c>
      <c r="E276" s="1018"/>
    </row>
    <row r="277" spans="1:13" ht="15.75" thickBot="1">
      <c r="A277" s="1016" t="s">
        <v>1210</v>
      </c>
      <c r="B277" s="1017" t="s">
        <v>1202</v>
      </c>
      <c r="C277" s="1018" t="s">
        <v>1203</v>
      </c>
      <c r="D277" s="1017">
        <v>47000</v>
      </c>
      <c r="E277" s="1018" t="s">
        <v>1205</v>
      </c>
    </row>
    <row r="278" spans="1:13" ht="15.75" thickBot="1">
      <c r="A278" s="1016" t="s">
        <v>1211</v>
      </c>
      <c r="B278" s="1019">
        <v>500</v>
      </c>
      <c r="C278" s="1018" t="s">
        <v>1203</v>
      </c>
      <c r="D278" s="1017">
        <v>47000</v>
      </c>
      <c r="E278" s="1018" t="s">
        <v>1212</v>
      </c>
    </row>
    <row r="279" spans="1:13" ht="15">
      <c r="A279" s="677"/>
      <c r="B279"/>
      <c r="C279"/>
    </row>
    <row r="280" spans="1:13" ht="15">
      <c r="A280" s="677" t="s">
        <v>1213</v>
      </c>
      <c r="B280"/>
      <c r="C280"/>
    </row>
    <row r="281" spans="1:13" ht="15">
      <c r="A281" s="1149" t="s">
        <v>1472</v>
      </c>
      <c r="B281">
        <v>3000</v>
      </c>
      <c r="C281"/>
    </row>
    <row r="282" spans="1:13" ht="15">
      <c r="A282" s="1020" t="s">
        <v>1473</v>
      </c>
      <c r="B282">
        <v>750</v>
      </c>
      <c r="C282"/>
    </row>
    <row r="283" spans="1:13" ht="15">
      <c r="A283" s="1149" t="s">
        <v>1474</v>
      </c>
      <c r="B283">
        <v>2750</v>
      </c>
      <c r="C283"/>
    </row>
    <row r="284" spans="1:13" ht="15">
      <c r="A284" s="677"/>
      <c r="B284"/>
      <c r="C284"/>
    </row>
    <row r="285" spans="1:13" ht="15">
      <c r="A285" s="1029" t="s">
        <v>1215</v>
      </c>
      <c r="B285" s="1022" t="s">
        <v>1216</v>
      </c>
    </row>
    <row r="287" spans="1:13">
      <c r="A287" s="817" t="s">
        <v>1223</v>
      </c>
    </row>
    <row r="288" spans="1:13">
      <c r="A288" s="951" t="s">
        <v>576</v>
      </c>
      <c r="B288" s="949">
        <f>SUM(E288:E314)</f>
        <v>2137760</v>
      </c>
      <c r="C288" s="952" t="s">
        <v>753</v>
      </c>
      <c r="D288" s="945"/>
      <c r="E288" s="948">
        <v>255000</v>
      </c>
      <c r="F288" s="945" t="s">
        <v>754</v>
      </c>
      <c r="I288" s="2067" t="s">
        <v>1162</v>
      </c>
      <c r="J288" s="2067"/>
      <c r="K288" s="676"/>
      <c r="L288" s="676"/>
      <c r="M288" s="676"/>
    </row>
    <row r="289" spans="1:14">
      <c r="A289" s="944"/>
      <c r="B289" s="953"/>
      <c r="C289" s="950" t="s">
        <v>755</v>
      </c>
      <c r="D289" s="944"/>
      <c r="E289" s="946">
        <v>30000</v>
      </c>
      <c r="F289" s="944" t="s">
        <v>756</v>
      </c>
      <c r="I289" s="2067" t="s">
        <v>1158</v>
      </c>
      <c r="J289" s="2067"/>
      <c r="K289" s="676"/>
      <c r="L289" s="993">
        <v>675000</v>
      </c>
      <c r="M289" s="1026" t="s">
        <v>1159</v>
      </c>
      <c r="N289" s="158" t="s">
        <v>1308</v>
      </c>
    </row>
    <row r="290" spans="1:14" ht="13.5" thickBot="1">
      <c r="A290" s="944"/>
      <c r="B290" s="953"/>
      <c r="C290" s="950" t="s">
        <v>757</v>
      </c>
      <c r="D290" s="944"/>
      <c r="E290" s="946">
        <v>0</v>
      </c>
      <c r="F290" s="944" t="s">
        <v>758</v>
      </c>
      <c r="I290" s="2068" t="s">
        <v>1160</v>
      </c>
      <c r="J290" s="2068"/>
      <c r="K290" s="676"/>
      <c r="L290" s="993"/>
      <c r="M290" s="1026" t="s">
        <v>1161</v>
      </c>
    </row>
    <row r="291" spans="1:14">
      <c r="A291" s="944"/>
      <c r="B291" s="953"/>
      <c r="C291" s="950" t="s">
        <v>761</v>
      </c>
      <c r="D291" s="944"/>
      <c r="E291" s="946">
        <v>0</v>
      </c>
      <c r="F291" s="944" t="s">
        <v>762</v>
      </c>
      <c r="I291" s="982" t="s">
        <v>1066</v>
      </c>
      <c r="J291" s="2063"/>
      <c r="K291" s="2063"/>
      <c r="L291" s="2061"/>
      <c r="M291" s="2063"/>
    </row>
    <row r="292" spans="1:14">
      <c r="A292" s="944"/>
      <c r="B292" s="953"/>
      <c r="C292" s="950" t="s">
        <v>765</v>
      </c>
      <c r="D292" s="944"/>
      <c r="E292" s="946">
        <v>0</v>
      </c>
      <c r="F292" s="944" t="s">
        <v>766</v>
      </c>
      <c r="I292" s="1025" t="s">
        <v>780</v>
      </c>
      <c r="J292" s="2064"/>
      <c r="K292" s="2064"/>
      <c r="L292" s="2062"/>
      <c r="M292" s="2064"/>
    </row>
    <row r="293" spans="1:14">
      <c r="A293" s="944"/>
      <c r="B293" s="953"/>
      <c r="C293" s="950" t="s">
        <v>772</v>
      </c>
      <c r="D293" s="944"/>
      <c r="E293" s="946">
        <v>10000</v>
      </c>
      <c r="F293" s="944" t="s">
        <v>773</v>
      </c>
      <c r="I293" s="1024"/>
      <c r="J293" s="985"/>
      <c r="K293" s="1024" t="s">
        <v>1067</v>
      </c>
      <c r="L293" s="986">
        <v>60000</v>
      </c>
      <c r="M293" s="1024" t="s">
        <v>1068</v>
      </c>
    </row>
    <row r="294" spans="1:14">
      <c r="A294" s="944"/>
      <c r="B294" s="953"/>
      <c r="C294" s="950" t="s">
        <v>1124</v>
      </c>
      <c r="D294" s="944"/>
      <c r="E294" s="946">
        <v>20000</v>
      </c>
      <c r="F294" s="944" t="s">
        <v>1125</v>
      </c>
      <c r="I294" s="1024"/>
      <c r="J294" s="985"/>
      <c r="K294" s="1024" t="s">
        <v>1069</v>
      </c>
      <c r="L294" s="986">
        <v>30000</v>
      </c>
      <c r="M294" s="1024" t="s">
        <v>1070</v>
      </c>
    </row>
    <row r="295" spans="1:14">
      <c r="A295" s="944"/>
      <c r="B295" s="953"/>
      <c r="C295" s="950" t="s">
        <v>1126</v>
      </c>
      <c r="D295" s="944"/>
      <c r="E295" s="946">
        <v>50000</v>
      </c>
      <c r="F295" s="944" t="s">
        <v>1127</v>
      </c>
      <c r="I295" s="1024"/>
      <c r="J295" s="985"/>
      <c r="K295" s="1024" t="s">
        <v>1071</v>
      </c>
      <c r="L295" s="986">
        <v>45000</v>
      </c>
      <c r="M295" s="1024" t="s">
        <v>1072</v>
      </c>
    </row>
    <row r="296" spans="1:14">
      <c r="A296" s="944"/>
      <c r="B296" s="953"/>
      <c r="C296" s="950" t="s">
        <v>1128</v>
      </c>
      <c r="D296" s="954">
        <v>0</v>
      </c>
      <c r="E296" s="946">
        <v>0</v>
      </c>
      <c r="F296" s="944" t="s">
        <v>1129</v>
      </c>
      <c r="I296" s="1024"/>
      <c r="J296" s="985"/>
      <c r="K296" s="1024" t="s">
        <v>1073</v>
      </c>
      <c r="L296" s="986">
        <v>180000</v>
      </c>
      <c r="M296" s="1024" t="s">
        <v>1074</v>
      </c>
    </row>
    <row r="297" spans="1:14">
      <c r="A297" s="944"/>
      <c r="B297" s="953"/>
      <c r="C297" s="950" t="s">
        <v>1130</v>
      </c>
      <c r="D297" s="954">
        <v>0</v>
      </c>
      <c r="E297" s="946">
        <v>0</v>
      </c>
      <c r="F297" s="944" t="s">
        <v>1129</v>
      </c>
      <c r="I297" s="1024"/>
      <c r="J297" s="985"/>
      <c r="K297" s="1024" t="s">
        <v>1075</v>
      </c>
      <c r="L297" s="986">
        <v>450000</v>
      </c>
      <c r="M297" s="1024" t="s">
        <v>1076</v>
      </c>
    </row>
    <row r="298" spans="1:14">
      <c r="A298" s="944"/>
      <c r="B298" s="953"/>
      <c r="C298" s="950" t="s">
        <v>1042</v>
      </c>
      <c r="D298" s="954"/>
      <c r="E298" s="946">
        <v>135200</v>
      </c>
      <c r="F298" s="944" t="s">
        <v>1224</v>
      </c>
      <c r="I298" s="2065"/>
      <c r="J298" s="2066"/>
      <c r="K298" s="987"/>
      <c r="L298" s="988"/>
      <c r="M298" s="2065" t="s">
        <v>1078</v>
      </c>
    </row>
    <row r="299" spans="1:14">
      <c r="A299" s="944"/>
      <c r="B299" s="953"/>
      <c r="C299" s="950" t="s">
        <v>769</v>
      </c>
      <c r="D299" s="944"/>
      <c r="E299" s="946">
        <v>90000</v>
      </c>
      <c r="F299" s="944" t="s">
        <v>770</v>
      </c>
      <c r="I299" s="2065"/>
      <c r="J299" s="2066"/>
      <c r="K299" s="987" t="s">
        <v>1077</v>
      </c>
      <c r="L299" s="989">
        <v>22000</v>
      </c>
      <c r="M299" s="2065"/>
    </row>
    <row r="300" spans="1:14">
      <c r="A300" s="944"/>
      <c r="B300" s="953"/>
      <c r="C300" s="950" t="s">
        <v>771</v>
      </c>
      <c r="D300" s="944"/>
      <c r="E300" s="946">
        <v>500000</v>
      </c>
      <c r="F300" s="944" t="s">
        <v>72</v>
      </c>
      <c r="I300" s="1024"/>
      <c r="J300" s="985"/>
      <c r="K300" s="1024" t="s">
        <v>1079</v>
      </c>
      <c r="L300" s="986">
        <v>32000</v>
      </c>
      <c r="M300" s="1024" t="s">
        <v>1078</v>
      </c>
    </row>
    <row r="301" spans="1:14">
      <c r="A301" s="944"/>
      <c r="B301" s="953"/>
      <c r="C301" s="950" t="s">
        <v>1044</v>
      </c>
      <c r="D301" s="954"/>
      <c r="E301" s="946"/>
      <c r="F301" s="944" t="s">
        <v>1045</v>
      </c>
      <c r="I301" s="1024"/>
      <c r="J301" s="985"/>
      <c r="K301" s="1024" t="s">
        <v>1080</v>
      </c>
      <c r="L301" s="986">
        <v>40000</v>
      </c>
      <c r="M301" s="1024" t="s">
        <v>1078</v>
      </c>
    </row>
    <row r="302" spans="1:14">
      <c r="A302" s="944"/>
      <c r="B302" s="953"/>
      <c r="C302" s="950" t="s">
        <v>1046</v>
      </c>
      <c r="D302" s="954"/>
      <c r="E302" s="946"/>
      <c r="F302" s="944" t="s">
        <v>1047</v>
      </c>
      <c r="I302" s="1024"/>
      <c r="J302" s="985"/>
      <c r="K302" s="1024"/>
      <c r="L302" s="985"/>
      <c r="M302" s="1024"/>
    </row>
    <row r="303" spans="1:14">
      <c r="A303" s="944"/>
      <c r="B303" s="953"/>
      <c r="C303" s="950" t="s">
        <v>774</v>
      </c>
      <c r="D303" s="944"/>
      <c r="E303" s="946">
        <v>25000</v>
      </c>
      <c r="F303" s="944" t="s">
        <v>775</v>
      </c>
      <c r="I303" s="1024"/>
      <c r="J303" s="985"/>
      <c r="K303" s="1024" t="s">
        <v>1081</v>
      </c>
      <c r="L303" s="986">
        <f>SUM(E326:E331)</f>
        <v>300000</v>
      </c>
      <c r="M303" s="1024" t="s">
        <v>1082</v>
      </c>
    </row>
    <row r="304" spans="1:14">
      <c r="A304" s="944"/>
      <c r="B304" s="953"/>
      <c r="C304" s="950" t="s">
        <v>1132</v>
      </c>
      <c r="D304" s="944"/>
      <c r="E304" s="946">
        <v>90000</v>
      </c>
      <c r="F304" s="944" t="s">
        <v>301</v>
      </c>
      <c r="I304" s="1024"/>
      <c r="J304" s="985"/>
      <c r="K304" s="1024" t="s">
        <v>1083</v>
      </c>
      <c r="L304" s="986">
        <v>75000</v>
      </c>
      <c r="M304" s="1024" t="s">
        <v>1084</v>
      </c>
    </row>
    <row r="305" spans="1:13" ht="13.5" thickBot="1">
      <c r="A305" s="944"/>
      <c r="B305" s="953"/>
      <c r="C305" s="950" t="s">
        <v>777</v>
      </c>
      <c r="D305" s="944"/>
      <c r="E305" s="946">
        <v>30000</v>
      </c>
      <c r="F305" s="944" t="s">
        <v>778</v>
      </c>
      <c r="I305" s="990"/>
      <c r="J305" s="991"/>
      <c r="K305" s="990" t="s">
        <v>1085</v>
      </c>
      <c r="L305" s="992">
        <v>15000</v>
      </c>
      <c r="M305" s="990" t="s">
        <v>1086</v>
      </c>
    </row>
    <row r="306" spans="1:13">
      <c r="A306" s="944"/>
      <c r="B306" s="953"/>
      <c r="C306" s="950" t="s">
        <v>1050</v>
      </c>
      <c r="D306" s="944"/>
      <c r="E306" s="946">
        <f>+L289</f>
        <v>675000</v>
      </c>
      <c r="F306" s="944" t="s">
        <v>1051</v>
      </c>
      <c r="I306" s="676"/>
      <c r="J306" s="676"/>
      <c r="K306" s="676"/>
      <c r="L306" s="676"/>
      <c r="M306" s="676"/>
    </row>
    <row r="307" spans="1:13">
      <c r="A307" s="944"/>
      <c r="B307" s="953"/>
      <c r="C307" s="950" t="s">
        <v>779</v>
      </c>
      <c r="D307" s="944"/>
      <c r="E307" s="946">
        <v>50000</v>
      </c>
      <c r="F307" s="944" t="s">
        <v>780</v>
      </c>
      <c r="I307" s="676"/>
      <c r="J307" s="676"/>
      <c r="K307" s="676"/>
      <c r="L307" s="993">
        <f>SUM(L289:L305)</f>
        <v>1924000</v>
      </c>
      <c r="M307" s="676"/>
    </row>
    <row r="308" spans="1:13">
      <c r="A308" s="944"/>
      <c r="B308" s="953"/>
      <c r="C308" s="950" t="s">
        <v>781</v>
      </c>
      <c r="D308" s="944"/>
      <c r="E308" s="946">
        <v>5000</v>
      </c>
      <c r="F308" s="944" t="s">
        <v>782</v>
      </c>
      <c r="I308" s="130"/>
    </row>
    <row r="309" spans="1:13">
      <c r="A309" s="944"/>
      <c r="B309" s="953"/>
      <c r="C309" s="950" t="s">
        <v>783</v>
      </c>
      <c r="D309" s="944"/>
      <c r="E309" s="946">
        <v>65000</v>
      </c>
      <c r="F309" s="944" t="s">
        <v>784</v>
      </c>
      <c r="I309" s="130" t="s">
        <v>1312</v>
      </c>
      <c r="M309" s="130" t="s">
        <v>1320</v>
      </c>
    </row>
    <row r="310" spans="1:13">
      <c r="A310" s="944"/>
      <c r="B310" s="953"/>
      <c r="C310" s="950" t="s">
        <v>785</v>
      </c>
      <c r="D310" s="944"/>
      <c r="E310" s="946">
        <v>12000</v>
      </c>
      <c r="F310" s="944" t="s">
        <v>786</v>
      </c>
      <c r="L310" s="318"/>
    </row>
    <row r="311" spans="1:13">
      <c r="A311" s="944"/>
      <c r="B311" s="953"/>
      <c r="C311" s="950" t="s">
        <v>787</v>
      </c>
      <c r="D311" s="944"/>
      <c r="E311" s="946">
        <v>25000</v>
      </c>
      <c r="F311" s="944" t="s">
        <v>788</v>
      </c>
      <c r="L311" s="158">
        <f>SUM(L307:L310)</f>
        <v>1924000</v>
      </c>
    </row>
    <row r="312" spans="1:13">
      <c r="A312" s="912"/>
      <c r="B312" s="868"/>
      <c r="C312" s="1027"/>
      <c r="D312" s="674"/>
      <c r="E312" s="996">
        <v>0</v>
      </c>
      <c r="F312" s="997" t="s">
        <v>1167</v>
      </c>
    </row>
    <row r="313" spans="1:13">
      <c r="A313" s="944"/>
      <c r="B313" s="953"/>
      <c r="C313" s="950" t="s">
        <v>789</v>
      </c>
      <c r="D313" s="944"/>
      <c r="E313" s="947">
        <v>0</v>
      </c>
      <c r="F313" s="944" t="s">
        <v>790</v>
      </c>
    </row>
    <row r="314" spans="1:13" ht="13.5" thickBot="1">
      <c r="A314" s="679" t="s">
        <v>1321</v>
      </c>
      <c r="B314" s="680"/>
      <c r="C314" s="681" t="s">
        <v>1322</v>
      </c>
      <c r="D314" s="682"/>
      <c r="E314" s="1030">
        <v>70560</v>
      </c>
      <c r="F314" s="955" t="s">
        <v>1323</v>
      </c>
    </row>
    <row r="316" spans="1:13">
      <c r="A316" s="961" t="s">
        <v>834</v>
      </c>
      <c r="B316" s="974">
        <f>SUM(E316:E318)</f>
        <v>1200000</v>
      </c>
      <c r="C316" s="962" t="s">
        <v>1133</v>
      </c>
      <c r="D316" s="970"/>
      <c r="E316" s="959">
        <v>675000</v>
      </c>
      <c r="F316" s="970" t="s">
        <v>836</v>
      </c>
    </row>
    <row r="317" spans="1:13">
      <c r="A317" s="963"/>
      <c r="B317" s="975"/>
      <c r="C317" s="960" t="s">
        <v>837</v>
      </c>
      <c r="D317" s="972"/>
      <c r="E317" s="958">
        <v>90000</v>
      </c>
      <c r="F317" s="972" t="s">
        <v>838</v>
      </c>
    </row>
    <row r="318" spans="1:13">
      <c r="A318" s="964"/>
      <c r="B318" s="965"/>
      <c r="C318" s="966" t="s">
        <v>839</v>
      </c>
      <c r="D318" s="977"/>
      <c r="E318" s="1075">
        <v>435000</v>
      </c>
      <c r="F318" s="977" t="s">
        <v>840</v>
      </c>
    </row>
    <row r="319" spans="1:13">
      <c r="A319" s="963" t="s">
        <v>841</v>
      </c>
      <c r="B319" s="975">
        <v>75000</v>
      </c>
      <c r="C319" s="960" t="s">
        <v>1134</v>
      </c>
      <c r="D319" s="973"/>
      <c r="E319" s="958">
        <v>10000</v>
      </c>
      <c r="F319" s="972" t="s">
        <v>845</v>
      </c>
    </row>
    <row r="320" spans="1:13">
      <c r="A320" s="972"/>
      <c r="B320" s="975"/>
      <c r="C320" s="960" t="s">
        <v>1135</v>
      </c>
      <c r="D320" s="976"/>
      <c r="E320" s="973">
        <v>0</v>
      </c>
      <c r="F320" s="972" t="s">
        <v>845</v>
      </c>
    </row>
    <row r="321" spans="1:7">
      <c r="A321" s="972"/>
      <c r="B321" s="975"/>
      <c r="C321" s="960" t="s">
        <v>1136</v>
      </c>
      <c r="D321" s="973"/>
      <c r="E321" s="968">
        <v>0</v>
      </c>
      <c r="F321" s="972" t="s">
        <v>845</v>
      </c>
    </row>
    <row r="322" spans="1:7">
      <c r="A322" s="972"/>
      <c r="B322" s="975"/>
      <c r="C322" s="960" t="s">
        <v>1137</v>
      </c>
      <c r="D322" s="973"/>
      <c r="E322" s="968">
        <v>0</v>
      </c>
      <c r="F322" s="972" t="s">
        <v>845</v>
      </c>
    </row>
    <row r="323" spans="1:7">
      <c r="A323" s="972"/>
      <c r="B323" s="975"/>
      <c r="C323" s="960" t="s">
        <v>1138</v>
      </c>
      <c r="D323" s="973">
        <v>60000</v>
      </c>
      <c r="E323" s="968">
        <v>0</v>
      </c>
      <c r="F323" s="972" t="s">
        <v>845</v>
      </c>
    </row>
    <row r="324" spans="1:7">
      <c r="A324" s="972"/>
      <c r="B324" s="975"/>
      <c r="C324" s="960" t="s">
        <v>1139</v>
      </c>
      <c r="D324" s="973">
        <v>5000</v>
      </c>
      <c r="E324" s="968">
        <v>0</v>
      </c>
      <c r="F324" s="972" t="s">
        <v>845</v>
      </c>
    </row>
    <row r="325" spans="1:7">
      <c r="A325" s="967"/>
      <c r="B325" s="965"/>
      <c r="C325" s="966" t="s">
        <v>1140</v>
      </c>
      <c r="D325" s="967"/>
      <c r="E325" s="969">
        <v>0</v>
      </c>
      <c r="F325" s="977" t="s">
        <v>845</v>
      </c>
    </row>
    <row r="326" spans="1:7">
      <c r="A326" s="963" t="s">
        <v>852</v>
      </c>
      <c r="B326" s="975">
        <f>SUM(E326:E331)</f>
        <v>300000</v>
      </c>
      <c r="C326" s="960" t="s">
        <v>899</v>
      </c>
      <c r="D326" s="972"/>
      <c r="E326" s="958">
        <v>50000</v>
      </c>
      <c r="F326" s="972" t="s">
        <v>1141</v>
      </c>
    </row>
    <row r="327" spans="1:7">
      <c r="A327" s="972"/>
      <c r="B327" s="975"/>
      <c r="C327" s="960" t="s">
        <v>1142</v>
      </c>
      <c r="D327" s="973">
        <v>0</v>
      </c>
      <c r="E327" s="973">
        <v>0</v>
      </c>
      <c r="F327" s="972" t="s">
        <v>860</v>
      </c>
    </row>
    <row r="328" spans="1:7">
      <c r="A328" s="972"/>
      <c r="B328" s="975"/>
      <c r="C328" s="960" t="s">
        <v>1143</v>
      </c>
      <c r="D328" s="973"/>
      <c r="E328" s="973">
        <v>70000</v>
      </c>
      <c r="F328" s="972" t="s">
        <v>856</v>
      </c>
    </row>
    <row r="329" spans="1:7">
      <c r="A329" s="972"/>
      <c r="B329" s="975"/>
      <c r="C329" s="960" t="s">
        <v>1225</v>
      </c>
      <c r="D329" s="973"/>
      <c r="E329" s="973">
        <v>100000</v>
      </c>
      <c r="F329" s="972" t="s">
        <v>1144</v>
      </c>
    </row>
    <row r="330" spans="1:7">
      <c r="A330" s="972"/>
      <c r="B330" s="975"/>
      <c r="C330" s="960" t="s">
        <v>859</v>
      </c>
      <c r="D330" s="972"/>
      <c r="E330" s="958">
        <v>20000</v>
      </c>
      <c r="F330" s="972" t="s">
        <v>860</v>
      </c>
    </row>
    <row r="331" spans="1:7">
      <c r="A331" s="972"/>
      <c r="B331" s="975"/>
      <c r="C331" s="960" t="s">
        <v>1145</v>
      </c>
      <c r="D331" s="972"/>
      <c r="E331" s="958">
        <v>60000</v>
      </c>
      <c r="F331" s="972" t="s">
        <v>331</v>
      </c>
    </row>
    <row r="332" spans="1:7">
      <c r="A332" s="961" t="s">
        <v>918</v>
      </c>
      <c r="B332" s="1032" t="e">
        <f>SUM(D332:E335)</f>
        <v>#REF!</v>
      </c>
      <c r="C332" s="962" t="s">
        <v>1146</v>
      </c>
      <c r="D332" s="971" t="e">
        <f>+'[10]15-16'!$E$15</f>
        <v>#REF!</v>
      </c>
      <c r="E332" s="959">
        <v>0</v>
      </c>
      <c r="F332" s="970" t="s">
        <v>1147</v>
      </c>
      <c r="G332" t="s">
        <v>1309</v>
      </c>
    </row>
    <row r="333" spans="1:7">
      <c r="A333" s="972"/>
      <c r="B333" s="975"/>
      <c r="C333" s="960" t="s">
        <v>1148</v>
      </c>
      <c r="D333" s="978">
        <v>0</v>
      </c>
      <c r="E333" s="973">
        <v>0</v>
      </c>
      <c r="F333" s="972" t="s">
        <v>1149</v>
      </c>
    </row>
    <row r="334" spans="1:7">
      <c r="A334" s="972"/>
      <c r="B334" s="975"/>
      <c r="C334" s="960" t="s">
        <v>1150</v>
      </c>
      <c r="D334" s="973">
        <v>0</v>
      </c>
      <c r="E334" s="958">
        <v>0</v>
      </c>
      <c r="F334" s="972" t="s">
        <v>1151</v>
      </c>
    </row>
    <row r="335" spans="1:7">
      <c r="A335" s="972"/>
      <c r="B335" s="975"/>
      <c r="C335" s="960" t="s">
        <v>1152</v>
      </c>
      <c r="D335" s="958" t="e">
        <f>+ROUND('[10]15-16'!$C$15,)</f>
        <v>#REF!</v>
      </c>
      <c r="E335" s="973">
        <v>0</v>
      </c>
      <c r="F335" s="972" t="s">
        <v>1153</v>
      </c>
    </row>
    <row r="336" spans="1:7">
      <c r="F336" s="587"/>
    </row>
    <row r="337" spans="1:6">
      <c r="A337" s="867" t="s">
        <v>586</v>
      </c>
      <c r="B337" s="980" t="e">
        <f>SUM(E337:E342)</f>
        <v>#REF!</v>
      </c>
      <c r="C337" s="1027" t="s">
        <v>1053</v>
      </c>
      <c r="D337" s="674"/>
      <c r="E337" s="869">
        <v>150000</v>
      </c>
      <c r="F337" s="870" t="s">
        <v>1054</v>
      </c>
    </row>
    <row r="338" spans="1:6">
      <c r="A338" s="867"/>
      <c r="B338" s="868"/>
      <c r="C338" s="1027" t="s">
        <v>1055</v>
      </c>
      <c r="D338" s="674"/>
      <c r="E338" s="869">
        <v>50000</v>
      </c>
      <c r="F338" s="870" t="s">
        <v>1154</v>
      </c>
    </row>
    <row r="339" spans="1:6">
      <c r="A339" s="867"/>
      <c r="B339" s="912"/>
      <c r="C339" s="674" t="s">
        <v>1057</v>
      </c>
      <c r="D339" s="674"/>
      <c r="E339" s="1077">
        <v>250000</v>
      </c>
      <c r="F339" s="956" t="s">
        <v>1058</v>
      </c>
    </row>
    <row r="340" spans="1:6">
      <c r="A340" s="912"/>
      <c r="B340" s="868"/>
      <c r="C340" s="674"/>
      <c r="D340" s="674"/>
      <c r="E340" s="1076">
        <v>60000</v>
      </c>
      <c r="F340" s="956" t="s">
        <v>1165</v>
      </c>
    </row>
    <row r="341" spans="1:6">
      <c r="A341" s="912"/>
      <c r="B341" s="868"/>
      <c r="C341" s="674"/>
      <c r="D341" s="674"/>
      <c r="E341" s="1076" t="e">
        <f>+[39]Sheet1!$H$19</f>
        <v>#REF!</v>
      </c>
      <c r="F341" s="956" t="s">
        <v>1314</v>
      </c>
    </row>
    <row r="342" spans="1:6">
      <c r="A342" s="912"/>
      <c r="B342" s="868"/>
      <c r="C342" s="1027"/>
      <c r="D342" s="674"/>
      <c r="E342" s="869">
        <v>50000</v>
      </c>
      <c r="F342" s="870" t="s">
        <v>1091</v>
      </c>
    </row>
    <row r="343" spans="1:6">
      <c r="A343" s="1028" t="s">
        <v>590</v>
      </c>
      <c r="B343" s="672"/>
      <c r="C343" s="673" t="s">
        <v>1059</v>
      </c>
      <c r="D343" s="674"/>
      <c r="E343" s="865">
        <v>70000</v>
      </c>
      <c r="F343" s="870" t="s">
        <v>1226</v>
      </c>
    </row>
    <row r="344" spans="1:6">
      <c r="A344" s="1028" t="s">
        <v>582</v>
      </c>
      <c r="B344" s="672"/>
      <c r="C344" s="673" t="s">
        <v>1061</v>
      </c>
      <c r="D344" s="674"/>
      <c r="E344" s="865">
        <v>50000</v>
      </c>
      <c r="F344" s="870" t="s">
        <v>1310</v>
      </c>
    </row>
    <row r="345" spans="1:6" ht="13.5" thickBot="1">
      <c r="A345" s="679" t="s">
        <v>1063</v>
      </c>
      <c r="B345" s="680"/>
      <c r="C345" s="681" t="s">
        <v>1064</v>
      </c>
      <c r="D345" s="682"/>
      <c r="E345" s="1030">
        <v>0</v>
      </c>
      <c r="F345" s="955" t="s">
        <v>1305</v>
      </c>
    </row>
    <row r="347" spans="1:6" ht="13.5" thickBot="1">
      <c r="A347" s="679"/>
      <c r="B347" s="680"/>
      <c r="C347" s="681"/>
      <c r="D347" s="682"/>
      <c r="E347" s="1030"/>
      <c r="F347" s="955"/>
    </row>
  </sheetData>
  <mergeCells count="28">
    <mergeCell ref="J156:J157"/>
    <mergeCell ref="K156:K157"/>
    <mergeCell ref="L156:L157"/>
    <mergeCell ref="M156:M157"/>
    <mergeCell ref="I163:I164"/>
    <mergeCell ref="J163:J164"/>
    <mergeCell ref="L163:L164"/>
    <mergeCell ref="M163:M164"/>
    <mergeCell ref="I209:J209"/>
    <mergeCell ref="I210:J210"/>
    <mergeCell ref="I211:J211"/>
    <mergeCell ref="J212:J213"/>
    <mergeCell ref="K212:K213"/>
    <mergeCell ref="L212:L213"/>
    <mergeCell ref="M212:M213"/>
    <mergeCell ref="I219:I220"/>
    <mergeCell ref="J219:J220"/>
    <mergeCell ref="M219:M220"/>
    <mergeCell ref="I288:J288"/>
    <mergeCell ref="I289:J289"/>
    <mergeCell ref="I290:J290"/>
    <mergeCell ref="J291:J292"/>
    <mergeCell ref="K291:K292"/>
    <mergeCell ref="L291:L292"/>
    <mergeCell ref="M291:M292"/>
    <mergeCell ref="I298:I299"/>
    <mergeCell ref="J298:J299"/>
    <mergeCell ref="M298:M299"/>
  </mergeCells>
  <pageMargins left="0.7" right="0.7" top="0.75" bottom="0.75" header="0.3" footer="0.3"/>
  <pageSetup orientation="portrait" r:id="rId1"/>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Q106"/>
  <sheetViews>
    <sheetView workbookViewId="0"/>
  </sheetViews>
  <sheetFormatPr defaultColWidth="8.7109375" defaultRowHeight="12.75"/>
  <cols>
    <col min="1" max="1" width="14.28515625" customWidth="1"/>
    <col min="2" max="2" width="22.42578125" bestFit="1" customWidth="1"/>
    <col min="3" max="3" width="11.42578125" bestFit="1" customWidth="1"/>
    <col min="4" max="4" width="12.42578125" customWidth="1"/>
    <col min="5" max="5" width="12.42578125" bestFit="1" customWidth="1"/>
    <col min="6" max="6" width="17" customWidth="1"/>
    <col min="7" max="7" width="14.42578125" customWidth="1"/>
    <col min="8" max="8" width="13.42578125" bestFit="1" customWidth="1"/>
    <col min="9" max="10" width="11.42578125" bestFit="1" customWidth="1"/>
  </cols>
  <sheetData>
    <row r="1" spans="1:11">
      <c r="A1" t="s">
        <v>357</v>
      </c>
    </row>
    <row r="3" spans="1:11">
      <c r="A3" t="s">
        <v>358</v>
      </c>
      <c r="E3" s="394" t="s">
        <v>409</v>
      </c>
      <c r="F3" s="394"/>
      <c r="G3" s="394"/>
      <c r="I3" s="274" t="s">
        <v>420</v>
      </c>
    </row>
    <row r="4" spans="1:11">
      <c r="C4" t="s">
        <v>359</v>
      </c>
      <c r="D4" t="s">
        <v>360</v>
      </c>
      <c r="E4" t="s">
        <v>359</v>
      </c>
      <c r="I4" s="71" t="s">
        <v>359</v>
      </c>
      <c r="J4" s="71" t="s">
        <v>360</v>
      </c>
    </row>
    <row r="5" spans="1:11">
      <c r="A5" t="s">
        <v>361</v>
      </c>
      <c r="B5" t="s">
        <v>362</v>
      </c>
      <c r="C5" s="232">
        <v>131424</v>
      </c>
      <c r="D5" s="232">
        <v>34880.78</v>
      </c>
      <c r="E5" s="284">
        <v>145500</v>
      </c>
      <c r="F5" s="284"/>
      <c r="G5" s="284"/>
      <c r="H5" s="284"/>
      <c r="I5" s="479">
        <v>151500</v>
      </c>
      <c r="J5" s="480">
        <v>42680.85</v>
      </c>
      <c r="K5" t="s">
        <v>255</v>
      </c>
    </row>
    <row r="6" spans="1:11">
      <c r="I6" s="71"/>
      <c r="J6" s="71"/>
    </row>
    <row r="7" spans="1:11">
      <c r="A7" t="s">
        <v>363</v>
      </c>
      <c r="B7" t="s">
        <v>364</v>
      </c>
      <c r="C7" s="232">
        <v>90636</v>
      </c>
      <c r="D7" s="232">
        <v>26894.07</v>
      </c>
      <c r="E7" s="284">
        <v>105000</v>
      </c>
      <c r="F7" s="284"/>
      <c r="G7" s="284"/>
      <c r="I7" s="479">
        <v>111500</v>
      </c>
      <c r="J7" s="480">
        <v>43704.77</v>
      </c>
      <c r="K7" t="s">
        <v>142</v>
      </c>
    </row>
    <row r="8" spans="1:11">
      <c r="I8" s="71"/>
      <c r="J8" s="71"/>
    </row>
    <row r="9" spans="1:11">
      <c r="A9" t="s">
        <v>365</v>
      </c>
      <c r="B9" t="s">
        <v>366</v>
      </c>
      <c r="C9" s="232">
        <v>73788</v>
      </c>
      <c r="D9" s="232">
        <v>23595.08</v>
      </c>
      <c r="E9" s="284">
        <v>57276</v>
      </c>
      <c r="F9" s="284"/>
      <c r="G9" s="284"/>
      <c r="I9" s="71"/>
      <c r="J9" s="71"/>
      <c r="K9" t="s">
        <v>143</v>
      </c>
    </row>
    <row r="10" spans="1:11">
      <c r="I10" s="71"/>
      <c r="J10" s="71"/>
    </row>
    <row r="11" spans="1:11">
      <c r="A11" t="s">
        <v>367</v>
      </c>
      <c r="B11" t="s">
        <v>368</v>
      </c>
      <c r="C11" s="232">
        <v>45120</v>
      </c>
      <c r="D11" s="232">
        <v>17981.59</v>
      </c>
      <c r="E11" s="284">
        <v>64380</v>
      </c>
      <c r="F11" s="284"/>
      <c r="G11" s="284"/>
      <c r="I11" s="479">
        <v>64656</v>
      </c>
      <c r="J11" s="480">
        <v>32458.5</v>
      </c>
      <c r="K11" s="71" t="s">
        <v>144</v>
      </c>
    </row>
    <row r="15" spans="1:11">
      <c r="C15" s="232">
        <f t="shared" ref="C15:J15" si="0">SUM(C5:C14)</f>
        <v>340968</v>
      </c>
      <c r="D15" s="232">
        <f t="shared" si="0"/>
        <v>103351.51999999999</v>
      </c>
      <c r="E15" s="232">
        <f t="shared" si="0"/>
        <v>372156</v>
      </c>
      <c r="F15" s="232"/>
      <c r="G15" s="232"/>
      <c r="H15" s="232">
        <f t="shared" si="0"/>
        <v>0</v>
      </c>
      <c r="I15" s="232">
        <f t="shared" si="0"/>
        <v>327656</v>
      </c>
      <c r="J15" s="232">
        <f t="shared" si="0"/>
        <v>118844.12</v>
      </c>
    </row>
    <row r="16" spans="1:11">
      <c r="D16" s="232">
        <f>SUM(C15:D15)</f>
        <v>444319.52</v>
      </c>
      <c r="H16" s="232">
        <f>SUM(E15:H15)</f>
        <v>372156</v>
      </c>
    </row>
    <row r="17" spans="1:17">
      <c r="E17" s="232"/>
      <c r="F17" s="232"/>
      <c r="G17" s="232"/>
    </row>
    <row r="18" spans="1:17" ht="14.25">
      <c r="K18" s="476" t="s">
        <v>361</v>
      </c>
      <c r="L18" s="476" t="s">
        <v>112</v>
      </c>
    </row>
    <row r="19" spans="1:17" ht="14.25">
      <c r="A19" t="s">
        <v>369</v>
      </c>
      <c r="K19" s="476" t="s">
        <v>113</v>
      </c>
      <c r="L19" s="476" t="s">
        <v>142</v>
      </c>
    </row>
    <row r="20" spans="1:17" ht="14.25">
      <c r="B20" t="s">
        <v>366</v>
      </c>
      <c r="C20" s="232">
        <f>+C9</f>
        <v>73788</v>
      </c>
      <c r="E20" s="285">
        <f>+E9</f>
        <v>57276</v>
      </c>
      <c r="F20" s="285"/>
      <c r="G20" s="285"/>
      <c r="K20" s="476" t="s">
        <v>114</v>
      </c>
      <c r="L20" s="476" t="s">
        <v>115</v>
      </c>
    </row>
    <row r="21" spans="1:17" ht="14.25">
      <c r="M21" s="476" t="s">
        <v>625</v>
      </c>
      <c r="P21" s="477">
        <v>327656</v>
      </c>
      <c r="Q21" s="478">
        <v>118844.12</v>
      </c>
    </row>
    <row r="22" spans="1:17">
      <c r="B22" t="s">
        <v>368</v>
      </c>
      <c r="C22" s="232">
        <f>+C11</f>
        <v>45120</v>
      </c>
      <c r="E22" s="285">
        <f>+E11</f>
        <v>64380</v>
      </c>
      <c r="F22" s="285"/>
      <c r="G22" s="285"/>
    </row>
    <row r="23" spans="1:17">
      <c r="C23" s="233">
        <f>SUM(C20:C22)</f>
        <v>118908</v>
      </c>
      <c r="E23" s="233">
        <f>SUM(E20:E22)</f>
        <v>121656</v>
      </c>
      <c r="F23" s="251" t="s">
        <v>158</v>
      </c>
    </row>
    <row r="25" spans="1:17">
      <c r="A25" t="s">
        <v>370</v>
      </c>
      <c r="C25" s="232">
        <f>+D16-C23</f>
        <v>325411.52</v>
      </c>
      <c r="E25" s="232">
        <f>+H16-E23</f>
        <v>250500</v>
      </c>
    </row>
    <row r="27" spans="1:17">
      <c r="A27" s="2" t="s">
        <v>311</v>
      </c>
      <c r="C27" s="232">
        <f>+D16</f>
        <v>444319.52</v>
      </c>
    </row>
    <row r="28" spans="1:17">
      <c r="A28" s="2" t="s">
        <v>312</v>
      </c>
      <c r="C28" s="232">
        <f>+C23</f>
        <v>118908</v>
      </c>
    </row>
    <row r="31" spans="1:17">
      <c r="A31" s="1" t="s">
        <v>123</v>
      </c>
    </row>
    <row r="32" spans="1:17">
      <c r="A32" t="s">
        <v>124</v>
      </c>
      <c r="B32" s="482"/>
      <c r="C32" s="482"/>
    </row>
    <row r="33" spans="1:8" ht="15">
      <c r="A33" s="482"/>
      <c r="B33" s="597" t="s">
        <v>420</v>
      </c>
      <c r="C33" s="598"/>
      <c r="D33" s="584"/>
      <c r="F33" s="582" t="s">
        <v>333</v>
      </c>
      <c r="G33" s="583"/>
      <c r="H33" s="584"/>
    </row>
    <row r="34" spans="1:8" ht="15">
      <c r="A34" s="482"/>
      <c r="B34" s="585" t="s">
        <v>359</v>
      </c>
      <c r="C34" s="586" t="s">
        <v>360</v>
      </c>
      <c r="D34" s="587"/>
      <c r="F34" s="585" t="s">
        <v>359</v>
      </c>
      <c r="G34" s="586" t="s">
        <v>360</v>
      </c>
      <c r="H34" s="587"/>
    </row>
    <row r="35" spans="1:8" ht="15">
      <c r="A35" s="482" t="s">
        <v>255</v>
      </c>
      <c r="B35" s="599">
        <v>151500</v>
      </c>
      <c r="C35" s="600">
        <v>42680.85</v>
      </c>
      <c r="D35" s="587"/>
      <c r="F35" s="588">
        <v>159000</v>
      </c>
      <c r="G35" s="589">
        <v>54893.279999999999</v>
      </c>
      <c r="H35" s="587"/>
    </row>
    <row r="36" spans="1:8" ht="15">
      <c r="A36" s="482"/>
      <c r="B36" s="599"/>
      <c r="C36" s="586"/>
      <c r="D36" s="587"/>
      <c r="F36" s="590"/>
      <c r="G36" s="589"/>
      <c r="H36" s="587"/>
    </row>
    <row r="37" spans="1:8" ht="15">
      <c r="A37" s="482" t="s">
        <v>142</v>
      </c>
      <c r="B37" s="599">
        <v>111500</v>
      </c>
      <c r="C37" s="600">
        <v>43704.77</v>
      </c>
      <c r="D37" s="587"/>
      <c r="F37" s="588">
        <v>117500</v>
      </c>
      <c r="G37" s="589">
        <v>50155.62</v>
      </c>
      <c r="H37" s="587"/>
    </row>
    <row r="38" spans="1:8" ht="15">
      <c r="A38" s="482"/>
      <c r="B38" s="599"/>
      <c r="C38" s="586"/>
      <c r="D38" s="587"/>
      <c r="F38" s="588"/>
      <c r="G38" s="589"/>
      <c r="H38" s="591"/>
    </row>
    <row r="39" spans="1:8" ht="15">
      <c r="A39" s="483" t="s">
        <v>115</v>
      </c>
      <c r="B39" s="599">
        <v>64656</v>
      </c>
      <c r="C39" s="600">
        <v>32458.5</v>
      </c>
      <c r="D39" s="587"/>
      <c r="F39" s="588">
        <v>67692</v>
      </c>
      <c r="G39" s="589">
        <v>36117.5</v>
      </c>
      <c r="H39" s="587"/>
    </row>
    <row r="40" spans="1:8">
      <c r="A40" s="482"/>
      <c r="B40" s="601"/>
      <c r="C40" s="602"/>
      <c r="D40" s="587"/>
      <c r="F40" s="492"/>
      <c r="G40" s="77"/>
      <c r="H40" s="587"/>
    </row>
    <row r="41" spans="1:8">
      <c r="A41" t="s">
        <v>625</v>
      </c>
      <c r="B41" s="592">
        <f>SUM(B35:B40)</f>
        <v>327656</v>
      </c>
      <c r="C41" s="593">
        <f>SUM(C35:C40)</f>
        <v>118844.12</v>
      </c>
      <c r="D41" s="591">
        <f>+C41+B41</f>
        <v>446500.12</v>
      </c>
      <c r="F41" s="592">
        <f>SUM(F35:F40)</f>
        <v>344192</v>
      </c>
      <c r="G41" s="593">
        <f>SUM(G35:G40)</f>
        <v>141166.39999999999</v>
      </c>
      <c r="H41" s="591">
        <f>+G41+F41</f>
        <v>485358.4</v>
      </c>
    </row>
    <row r="42" spans="1:8">
      <c r="B42" s="492"/>
      <c r="C42" s="77"/>
      <c r="D42" s="587"/>
      <c r="F42" s="492"/>
      <c r="G42" s="77"/>
      <c r="H42" s="587"/>
    </row>
    <row r="43" spans="1:8">
      <c r="A43" t="s">
        <v>125</v>
      </c>
      <c r="B43" s="492"/>
      <c r="C43" s="77"/>
      <c r="D43" s="594">
        <f>+B39</f>
        <v>64656</v>
      </c>
      <c r="F43" s="492"/>
      <c r="G43" s="77"/>
      <c r="H43" s="594">
        <f>+F39</f>
        <v>67692</v>
      </c>
    </row>
    <row r="44" spans="1:8">
      <c r="B44" s="492"/>
      <c r="C44" s="77"/>
      <c r="D44" s="587"/>
      <c r="F44" s="492"/>
      <c r="G44" s="77"/>
      <c r="H44" s="587"/>
    </row>
    <row r="45" spans="1:8">
      <c r="A45" t="s">
        <v>126</v>
      </c>
      <c r="B45" s="492"/>
      <c r="C45" s="77"/>
      <c r="D45" s="594">
        <f>+D41-D43</f>
        <v>381844.12</v>
      </c>
      <c r="F45" s="492"/>
      <c r="G45" s="77"/>
      <c r="H45" s="594">
        <f>+H41-H43</f>
        <v>417666.4</v>
      </c>
    </row>
    <row r="46" spans="1:8">
      <c r="B46" s="492"/>
      <c r="C46" s="77"/>
      <c r="D46" s="587"/>
      <c r="F46" s="492"/>
      <c r="G46" s="77"/>
      <c r="H46" s="587"/>
    </row>
    <row r="47" spans="1:8">
      <c r="A47" t="s">
        <v>127</v>
      </c>
      <c r="B47" s="492"/>
      <c r="C47" s="77"/>
      <c r="D47" s="595">
        <f>+D45*0.9</f>
        <v>343659.70799999998</v>
      </c>
      <c r="F47" s="492"/>
      <c r="G47" s="77"/>
      <c r="H47" s="595">
        <f>+H45*0.9</f>
        <v>375899.76</v>
      </c>
    </row>
    <row r="48" spans="1:8">
      <c r="B48" s="492"/>
      <c r="C48" s="77"/>
      <c r="D48" s="595"/>
      <c r="F48" s="492"/>
      <c r="G48" s="77"/>
      <c r="H48" s="595"/>
    </row>
    <row r="49" spans="1:8">
      <c r="A49" t="s">
        <v>128</v>
      </c>
      <c r="B49" s="492"/>
      <c r="C49" s="77"/>
      <c r="D49" s="595">
        <f>+D45-D47</f>
        <v>38184.412000000011</v>
      </c>
      <c r="F49" s="492"/>
      <c r="G49" s="77"/>
      <c r="H49" s="595">
        <f>+H45-H47</f>
        <v>41766.640000000014</v>
      </c>
    </row>
    <row r="50" spans="1:8">
      <c r="B50" s="492"/>
      <c r="C50" s="77"/>
      <c r="D50" s="587"/>
      <c r="F50" s="492"/>
      <c r="G50" s="77"/>
      <c r="H50" s="587"/>
    </row>
    <row r="51" spans="1:8">
      <c r="A51" t="s">
        <v>129</v>
      </c>
      <c r="B51" s="492"/>
      <c r="C51" s="77"/>
      <c r="D51" s="594">
        <f>+D43+D45-D47</f>
        <v>102840.41200000001</v>
      </c>
      <c r="F51" s="492"/>
      <c r="G51" s="77"/>
      <c r="H51" s="594">
        <f>+H43+H45-H47</f>
        <v>109458.64000000001</v>
      </c>
    </row>
    <row r="52" spans="1:8">
      <c r="B52" s="492"/>
      <c r="C52" s="77"/>
      <c r="D52" s="587"/>
      <c r="F52" s="492"/>
      <c r="G52" s="77"/>
      <c r="H52" s="587"/>
    </row>
    <row r="53" spans="1:8">
      <c r="A53" s="481" t="s">
        <v>311</v>
      </c>
      <c r="B53" s="492"/>
      <c r="C53" s="77"/>
      <c r="D53" s="591">
        <f>+D41</f>
        <v>446500.12</v>
      </c>
      <c r="F53" s="492"/>
      <c r="G53" s="77"/>
      <c r="H53" s="591">
        <f>+H41</f>
        <v>485358.4</v>
      </c>
    </row>
    <row r="54" spans="1:8">
      <c r="A54" s="481" t="s">
        <v>312</v>
      </c>
      <c r="B54" s="493"/>
      <c r="C54" s="279"/>
      <c r="D54" s="596">
        <f>+D51</f>
        <v>102840.41200000001</v>
      </c>
      <c r="F54" s="493"/>
      <c r="G54" s="279"/>
      <c r="H54" s="596">
        <f>+H51</f>
        <v>109458.64000000001</v>
      </c>
    </row>
    <row r="57" spans="1:8">
      <c r="A57" s="776" t="s">
        <v>16</v>
      </c>
      <c r="B57" s="71"/>
      <c r="C57" s="512"/>
      <c r="D57" s="777"/>
    </row>
    <row r="58" spans="1:8">
      <c r="A58" s="71"/>
      <c r="B58" s="248" t="s">
        <v>359</v>
      </c>
      <c r="C58" s="150" t="s">
        <v>360</v>
      </c>
      <c r="D58" s="778"/>
    </row>
    <row r="59" spans="1:8">
      <c r="A59" s="71" t="s">
        <v>112</v>
      </c>
      <c r="B59" s="779">
        <v>167580</v>
      </c>
      <c r="C59" s="780">
        <v>56139.3</v>
      </c>
      <c r="D59" s="778"/>
    </row>
    <row r="60" spans="1:8">
      <c r="A60" s="71"/>
      <c r="B60" s="781"/>
      <c r="C60" s="780"/>
      <c r="D60" s="778"/>
    </row>
    <row r="61" spans="1:8">
      <c r="A61" s="71" t="s">
        <v>142</v>
      </c>
      <c r="B61" s="779">
        <v>126144</v>
      </c>
      <c r="C61" s="780">
        <v>42258.239999999998</v>
      </c>
      <c r="D61" s="778"/>
      <c r="F61" s="652"/>
    </row>
    <row r="62" spans="1:8">
      <c r="A62" s="71"/>
      <c r="B62" s="779"/>
      <c r="C62" s="780"/>
      <c r="D62" s="782"/>
    </row>
    <row r="63" spans="1:8">
      <c r="A63" s="71" t="s">
        <v>115</v>
      </c>
      <c r="B63" s="779">
        <v>74687.520000000004</v>
      </c>
      <c r="C63" s="780">
        <v>31667.51</v>
      </c>
      <c r="D63" s="778"/>
    </row>
    <row r="64" spans="1:8">
      <c r="A64" s="71"/>
      <c r="B64" s="248"/>
      <c r="C64" s="150"/>
      <c r="D64" s="778"/>
    </row>
    <row r="65" spans="1:4">
      <c r="A65" s="71" t="s">
        <v>625</v>
      </c>
      <c r="B65" s="783">
        <f>SUM(B59:B64)</f>
        <v>368411.52</v>
      </c>
      <c r="C65" s="784">
        <f>SUM(C59:C64)</f>
        <v>130065.05</v>
      </c>
      <c r="D65" s="782">
        <f>+C65+B65</f>
        <v>498476.57</v>
      </c>
    </row>
    <row r="66" spans="1:4">
      <c r="A66" s="71"/>
      <c r="B66" s="248"/>
      <c r="C66" s="150"/>
      <c r="D66" s="778"/>
    </row>
    <row r="67" spans="1:4">
      <c r="A67" s="785" t="s">
        <v>125</v>
      </c>
      <c r="B67" s="248"/>
      <c r="C67" s="150"/>
      <c r="D67" s="786">
        <f>+B63</f>
        <v>74687.520000000004</v>
      </c>
    </row>
    <row r="68" spans="1:4">
      <c r="A68" s="785"/>
      <c r="B68" s="248"/>
      <c r="C68" s="150"/>
      <c r="D68" s="778"/>
    </row>
    <row r="69" spans="1:4">
      <c r="A69" s="785" t="s">
        <v>126</v>
      </c>
      <c r="B69" s="248"/>
      <c r="C69" s="150"/>
      <c r="D69" s="786">
        <f>+D65-D67</f>
        <v>423789.05</v>
      </c>
    </row>
    <row r="70" spans="1:4">
      <c r="A70" s="785"/>
      <c r="B70" s="248"/>
      <c r="C70" s="150"/>
      <c r="D70" s="778"/>
    </row>
    <row r="71" spans="1:4">
      <c r="A71" s="785" t="s">
        <v>127</v>
      </c>
      <c r="B71" s="248"/>
      <c r="C71" s="150"/>
      <c r="D71" s="787">
        <f>+D69*0.9</f>
        <v>381410.14500000002</v>
      </c>
    </row>
    <row r="72" spans="1:4">
      <c r="A72" s="785"/>
      <c r="B72" s="248"/>
      <c r="C72" s="150"/>
      <c r="D72" s="787"/>
    </row>
    <row r="73" spans="1:4">
      <c r="A73" s="785" t="s">
        <v>128</v>
      </c>
      <c r="B73" s="248"/>
      <c r="C73" s="150"/>
      <c r="D73" s="787">
        <f>+D69-D71</f>
        <v>42378.90499999997</v>
      </c>
    </row>
    <row r="74" spans="1:4">
      <c r="A74" s="785"/>
      <c r="B74" s="248"/>
      <c r="C74" s="150"/>
      <c r="D74" s="778"/>
    </row>
    <row r="75" spans="1:4">
      <c r="A75" s="785" t="s">
        <v>129</v>
      </c>
      <c r="B75" s="248"/>
      <c r="C75" s="150"/>
      <c r="D75" s="786">
        <f>+D67+D69-D71</f>
        <v>117066.42499999999</v>
      </c>
    </row>
    <row r="76" spans="1:4">
      <c r="A76" s="785"/>
      <c r="B76" s="248"/>
      <c r="C76" s="150"/>
      <c r="D76" s="778"/>
    </row>
    <row r="77" spans="1:4">
      <c r="A77" s="788" t="s">
        <v>311</v>
      </c>
      <c r="B77" s="248"/>
      <c r="C77" s="150"/>
      <c r="D77" s="782">
        <f>+D65</f>
        <v>498476.57</v>
      </c>
    </row>
    <row r="78" spans="1:4">
      <c r="A78" s="788" t="s">
        <v>312</v>
      </c>
      <c r="B78" s="254"/>
      <c r="C78" s="604"/>
      <c r="D78" s="789">
        <f>+D75</f>
        <v>117066.42499999999</v>
      </c>
    </row>
    <row r="83" spans="1:5">
      <c r="A83" s="1" t="s">
        <v>1797</v>
      </c>
    </row>
    <row r="86" spans="1:5">
      <c r="A86" t="s">
        <v>1798</v>
      </c>
      <c r="C86" t="s">
        <v>1800</v>
      </c>
    </row>
    <row r="87" spans="1:5">
      <c r="A87" t="s">
        <v>1799</v>
      </c>
    </row>
    <row r="89" spans="1:5">
      <c r="B89" t="s">
        <v>1804</v>
      </c>
      <c r="C89" t="s">
        <v>1805</v>
      </c>
      <c r="D89" t="s">
        <v>625</v>
      </c>
      <c r="E89" t="s">
        <v>525</v>
      </c>
    </row>
    <row r="90" spans="1:5">
      <c r="A90" t="s">
        <v>1801</v>
      </c>
      <c r="B90" s="158">
        <v>100000</v>
      </c>
      <c r="C90" s="158">
        <v>40000</v>
      </c>
      <c r="D90" s="158">
        <f>B90+C90</f>
        <v>140000</v>
      </c>
      <c r="E90">
        <v>4.53</v>
      </c>
    </row>
    <row r="91" spans="1:5">
      <c r="A91" t="s">
        <v>1802</v>
      </c>
      <c r="B91" s="158">
        <v>85000</v>
      </c>
      <c r="C91" s="158">
        <v>35000</v>
      </c>
      <c r="D91" s="158">
        <f t="shared" ref="D91:D95" si="1">B91+C91</f>
        <v>120000</v>
      </c>
      <c r="E91">
        <v>4.33</v>
      </c>
    </row>
    <row r="92" spans="1:5">
      <c r="A92" t="s">
        <v>1803</v>
      </c>
      <c r="B92" s="158">
        <v>85000</v>
      </c>
      <c r="C92" s="158">
        <v>35000</v>
      </c>
      <c r="D92" s="158">
        <f t="shared" si="1"/>
        <v>120000</v>
      </c>
      <c r="E92">
        <v>4.33</v>
      </c>
    </row>
    <row r="93" spans="1:5">
      <c r="B93" s="158"/>
      <c r="C93" s="158"/>
      <c r="D93" s="158">
        <f t="shared" si="1"/>
        <v>0</v>
      </c>
    </row>
    <row r="94" spans="1:5" ht="13.5" thickBot="1">
      <c r="B94" s="433"/>
      <c r="C94" s="433"/>
      <c r="D94" s="433">
        <f t="shared" si="1"/>
        <v>0</v>
      </c>
    </row>
    <row r="95" spans="1:5">
      <c r="B95" s="158">
        <f>SUM(B90:B94)</f>
        <v>270000</v>
      </c>
      <c r="C95" s="158">
        <f>SUM(C90:C94)</f>
        <v>110000</v>
      </c>
      <c r="D95" s="158">
        <f t="shared" si="1"/>
        <v>380000</v>
      </c>
    </row>
    <row r="98" spans="2:5">
      <c r="B98" t="s">
        <v>1806</v>
      </c>
      <c r="C98" t="s">
        <v>1807</v>
      </c>
      <c r="E98" t="s">
        <v>1809</v>
      </c>
    </row>
    <row r="99" spans="2:5">
      <c r="B99" t="s">
        <v>1808</v>
      </c>
    </row>
    <row r="102" spans="2:5">
      <c r="B102" t="s">
        <v>1810</v>
      </c>
    </row>
    <row r="103" spans="2:5">
      <c r="B103" t="s">
        <v>1811</v>
      </c>
    </row>
    <row r="104" spans="2:5">
      <c r="B104" t="s">
        <v>1812</v>
      </c>
    </row>
    <row r="106" spans="2:5">
      <c r="B106" t="s">
        <v>1813</v>
      </c>
    </row>
  </sheetData>
  <phoneticPr fontId="12" type="noConversion"/>
  <pageMargins left="0.75" right="0.75" top="1" bottom="1" header="0.5" footer="0.5"/>
  <pageSetup fitToHeight="3"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H301"/>
  <sheetViews>
    <sheetView workbookViewId="0">
      <selection sqref="A1:XFD1048576"/>
    </sheetView>
  </sheetViews>
  <sheetFormatPr defaultColWidth="8.7109375" defaultRowHeight="12.75"/>
  <cols>
    <col min="1" max="1" width="12.42578125" style="229" customWidth="1"/>
    <col min="2" max="2" width="12.42578125" bestFit="1" customWidth="1"/>
    <col min="3" max="3" width="14.7109375" style="158" customWidth="1"/>
    <col min="4" max="5" width="17.42578125" bestFit="1" customWidth="1"/>
    <col min="6" max="6" width="13" customWidth="1"/>
    <col min="7" max="7" width="10.42578125" bestFit="1" customWidth="1"/>
    <col min="8" max="8" width="20.7109375" bestFit="1" customWidth="1"/>
    <col min="9" max="9" width="12.28515625" bestFit="1" customWidth="1"/>
    <col min="10" max="10" width="13.7109375" bestFit="1" customWidth="1"/>
    <col min="11" max="11" width="13.28515625" bestFit="1" customWidth="1"/>
    <col min="12" max="12" width="12.28515625" bestFit="1" customWidth="1"/>
    <col min="13" max="13" width="5" customWidth="1"/>
    <col min="15" max="15" width="10.28515625" bestFit="1" customWidth="1"/>
    <col min="16" max="16" width="9.42578125" bestFit="1" customWidth="1"/>
    <col min="17" max="17" width="10.28515625" bestFit="1" customWidth="1"/>
    <col min="18" max="18" width="9.42578125" bestFit="1" customWidth="1"/>
    <col min="24" max="24" width="2.7109375" style="892" customWidth="1"/>
    <col min="25" max="25" width="10.42578125" bestFit="1" customWidth="1"/>
    <col min="26" max="30" width="9.42578125" bestFit="1" customWidth="1"/>
  </cols>
  <sheetData>
    <row r="1" spans="1:10">
      <c r="A1" s="141" t="s">
        <v>594</v>
      </c>
      <c r="B1" s="159"/>
      <c r="C1" s="159"/>
      <c r="D1" s="2"/>
      <c r="E1" s="4"/>
    </row>
    <row r="2" spans="1:10" ht="12.75" customHeight="1">
      <c r="A2" s="2083"/>
      <c r="B2" s="2084"/>
      <c r="C2" s="155" t="s">
        <v>595</v>
      </c>
      <c r="D2" s="2082" t="s">
        <v>597</v>
      </c>
      <c r="E2" s="2082" t="s">
        <v>598</v>
      </c>
    </row>
    <row r="3" spans="1:10" ht="38.25">
      <c r="A3" s="2083"/>
      <c r="B3" s="2084"/>
      <c r="C3" s="155" t="s">
        <v>596</v>
      </c>
      <c r="D3" s="2082"/>
      <c r="E3" s="2082"/>
      <c r="F3" s="163" t="s">
        <v>467</v>
      </c>
      <c r="G3" s="163" t="s">
        <v>468</v>
      </c>
      <c r="H3" s="71"/>
      <c r="I3" s="160" t="s">
        <v>472</v>
      </c>
    </row>
    <row r="4" spans="1:10">
      <c r="A4" s="95" t="s">
        <v>599</v>
      </c>
      <c r="B4" s="2"/>
      <c r="C4" s="55">
        <v>70000</v>
      </c>
      <c r="D4" s="4" t="s">
        <v>600</v>
      </c>
      <c r="E4" s="154" t="s">
        <v>601</v>
      </c>
      <c r="F4" s="71">
        <v>4</v>
      </c>
      <c r="G4" s="164">
        <v>23333.333333333332</v>
      </c>
      <c r="H4" s="71"/>
    </row>
    <row r="5" spans="1:10">
      <c r="A5" s="95" t="s">
        <v>602</v>
      </c>
      <c r="B5" s="2"/>
      <c r="C5" s="55">
        <v>-5400</v>
      </c>
      <c r="D5" s="154" t="s">
        <v>603</v>
      </c>
      <c r="E5" s="154" t="s">
        <v>604</v>
      </c>
      <c r="F5" s="71">
        <v>1</v>
      </c>
      <c r="G5" s="164">
        <v>-450</v>
      </c>
      <c r="H5" s="71"/>
      <c r="I5" s="70">
        <v>-5400</v>
      </c>
    </row>
    <row r="6" spans="1:10">
      <c r="A6" s="95" t="s">
        <v>605</v>
      </c>
      <c r="B6" s="2"/>
      <c r="C6" s="55">
        <v>-6000</v>
      </c>
      <c r="D6" s="154" t="s">
        <v>606</v>
      </c>
      <c r="E6" s="154" t="s">
        <v>607</v>
      </c>
      <c r="F6" s="71">
        <v>10</v>
      </c>
      <c r="G6" s="164">
        <v>-5000</v>
      </c>
      <c r="H6" s="71"/>
      <c r="I6" s="70">
        <v>-6000</v>
      </c>
    </row>
    <row r="7" spans="1:10">
      <c r="A7" s="95" t="s">
        <v>605</v>
      </c>
      <c r="B7" s="2"/>
      <c r="C7" s="55">
        <v>-16000</v>
      </c>
      <c r="D7" s="154" t="s">
        <v>608</v>
      </c>
      <c r="E7" s="154" t="s">
        <v>609</v>
      </c>
      <c r="F7" s="71">
        <v>1</v>
      </c>
      <c r="G7" s="164">
        <v>-1333.3333333333333</v>
      </c>
      <c r="H7" s="71"/>
    </row>
    <row r="8" spans="1:10">
      <c r="A8" s="95" t="s">
        <v>610</v>
      </c>
      <c r="B8" s="2"/>
      <c r="C8" s="55">
        <v>11000</v>
      </c>
      <c r="D8" s="4" t="s">
        <v>600</v>
      </c>
      <c r="E8" s="154" t="s">
        <v>611</v>
      </c>
      <c r="F8" s="71">
        <v>12</v>
      </c>
      <c r="G8" s="164">
        <v>11000</v>
      </c>
      <c r="H8" s="71"/>
      <c r="I8" s="70">
        <v>11000</v>
      </c>
    </row>
    <row r="9" spans="1:10">
      <c r="A9" s="95" t="s">
        <v>612</v>
      </c>
      <c r="B9" s="2"/>
      <c r="C9" s="55">
        <v>55000</v>
      </c>
      <c r="D9" s="4" t="s">
        <v>600</v>
      </c>
      <c r="E9" s="154" t="s">
        <v>613</v>
      </c>
      <c r="F9" s="71">
        <v>12</v>
      </c>
      <c r="G9" s="164">
        <v>55000</v>
      </c>
      <c r="H9" s="71"/>
      <c r="I9" s="70">
        <v>55000</v>
      </c>
    </row>
    <row r="10" spans="1:10">
      <c r="A10" s="95" t="s">
        <v>614</v>
      </c>
      <c r="B10" s="2"/>
      <c r="C10" s="55">
        <v>1920</v>
      </c>
      <c r="D10" s="4" t="s">
        <v>600</v>
      </c>
      <c r="E10" s="154" t="s">
        <v>611</v>
      </c>
      <c r="F10" s="71">
        <v>12</v>
      </c>
      <c r="G10" s="164">
        <v>1920</v>
      </c>
      <c r="H10" s="71"/>
      <c r="I10" s="70">
        <v>1920</v>
      </c>
    </row>
    <row r="11" spans="1:10">
      <c r="A11" s="95" t="s">
        <v>458</v>
      </c>
      <c r="B11" s="2"/>
      <c r="C11" s="55">
        <v>-4320</v>
      </c>
      <c r="D11" s="154" t="s">
        <v>459</v>
      </c>
      <c r="E11" s="4" t="s">
        <v>600</v>
      </c>
      <c r="F11" s="71">
        <v>11</v>
      </c>
      <c r="G11" s="164">
        <v>-3960</v>
      </c>
      <c r="H11" s="71"/>
      <c r="I11" s="70">
        <v>-4320</v>
      </c>
    </row>
    <row r="12" spans="1:10">
      <c r="A12" s="95" t="s">
        <v>460</v>
      </c>
      <c r="B12" s="2"/>
      <c r="C12" s="55">
        <v>39000</v>
      </c>
      <c r="D12" s="4" t="s">
        <v>600</v>
      </c>
      <c r="E12" s="154" t="s">
        <v>461</v>
      </c>
      <c r="F12" s="71">
        <v>7</v>
      </c>
      <c r="G12" s="164">
        <v>22750</v>
      </c>
      <c r="H12" s="71"/>
      <c r="I12" s="70">
        <v>39000</v>
      </c>
    </row>
    <row r="13" spans="1:10">
      <c r="A13" s="95" t="s">
        <v>462</v>
      </c>
      <c r="B13" s="2"/>
      <c r="C13" s="55">
        <v>-39023</v>
      </c>
      <c r="D13" s="154" t="s">
        <v>463</v>
      </c>
      <c r="E13" s="154" t="s">
        <v>464</v>
      </c>
      <c r="F13" s="71">
        <v>6</v>
      </c>
      <c r="G13" s="164">
        <v>-19511.5</v>
      </c>
      <c r="H13" s="71"/>
    </row>
    <row r="14" spans="1:10" ht="13.5" thickBot="1">
      <c r="A14" s="95" t="s">
        <v>465</v>
      </c>
      <c r="B14" s="2"/>
      <c r="C14" s="156">
        <v>26000</v>
      </c>
      <c r="D14" s="4" t="s">
        <v>600</v>
      </c>
      <c r="E14" s="154" t="s">
        <v>461</v>
      </c>
      <c r="F14" s="71">
        <v>7</v>
      </c>
      <c r="G14" s="166">
        <v>15166.666666666668</v>
      </c>
      <c r="H14" s="71"/>
      <c r="I14" s="70">
        <v>26000</v>
      </c>
    </row>
    <row r="15" spans="1:10">
      <c r="A15" s="95"/>
      <c r="B15" s="3" t="s">
        <v>466</v>
      </c>
      <c r="C15" s="157">
        <v>106177</v>
      </c>
      <c r="D15" s="2"/>
      <c r="E15" s="2"/>
      <c r="F15" s="71"/>
      <c r="G15" s="165">
        <v>98915.166666666672</v>
      </c>
      <c r="H15" s="71"/>
      <c r="I15" s="161">
        <v>117200</v>
      </c>
    </row>
    <row r="16" spans="1:10">
      <c r="A16" s="95" t="s">
        <v>471</v>
      </c>
      <c r="B16" s="3"/>
      <c r="C16" s="157"/>
      <c r="D16" s="2"/>
      <c r="E16" s="2"/>
      <c r="F16" s="71"/>
      <c r="G16" s="166">
        <v>1258500</v>
      </c>
      <c r="H16" s="71"/>
      <c r="I16" s="162">
        <v>1258500</v>
      </c>
      <c r="J16" t="s">
        <v>447</v>
      </c>
    </row>
    <row r="17" spans="1:10">
      <c r="A17" s="95" t="s">
        <v>469</v>
      </c>
      <c r="B17" s="3"/>
      <c r="C17" s="157"/>
      <c r="D17" s="2"/>
      <c r="E17" s="2"/>
      <c r="F17" s="71"/>
      <c r="G17" s="165">
        <v>1357415.1666666667</v>
      </c>
      <c r="H17" s="71"/>
      <c r="I17" s="70">
        <v>1375700</v>
      </c>
      <c r="J17" t="s">
        <v>448</v>
      </c>
    </row>
    <row r="18" spans="1:10">
      <c r="A18" s="95" t="s">
        <v>470</v>
      </c>
      <c r="B18" s="3"/>
      <c r="C18" s="157"/>
      <c r="D18" s="2"/>
      <c r="E18" s="2"/>
      <c r="F18" s="71"/>
      <c r="G18" s="165">
        <v>98915.166666666672</v>
      </c>
      <c r="H18" s="71"/>
      <c r="I18" s="70">
        <v>117200</v>
      </c>
    </row>
    <row r="19" spans="1:10">
      <c r="A19" s="95"/>
      <c r="B19" s="3"/>
      <c r="C19" s="157"/>
      <c r="D19" s="2"/>
      <c r="E19" s="2"/>
      <c r="G19" s="88"/>
    </row>
    <row r="21" spans="1:10">
      <c r="A21" s="1" t="s">
        <v>430</v>
      </c>
      <c r="B21" s="211"/>
      <c r="C21"/>
    </row>
    <row r="22" spans="1:10">
      <c r="A22" s="1"/>
      <c r="B22" s="211"/>
      <c r="C22"/>
    </row>
    <row r="23" spans="1:10" ht="38.25">
      <c r="A23" s="72"/>
      <c r="B23" s="72"/>
      <c r="C23" s="155" t="s">
        <v>431</v>
      </c>
      <c r="D23" s="72" t="s">
        <v>597</v>
      </c>
      <c r="E23" s="72" t="s">
        <v>598</v>
      </c>
      <c r="F23" s="72"/>
    </row>
    <row r="24" spans="1:10">
      <c r="A24" s="2" t="s">
        <v>599</v>
      </c>
      <c r="B24" s="2"/>
      <c r="C24" s="212">
        <v>75917</v>
      </c>
      <c r="D24" s="4" t="s">
        <v>600</v>
      </c>
      <c r="E24" s="213">
        <v>39173</v>
      </c>
    </row>
    <row r="25" spans="1:10">
      <c r="A25" s="71" t="s">
        <v>602</v>
      </c>
      <c r="B25" s="71"/>
      <c r="C25" s="212">
        <v>5400</v>
      </c>
      <c r="D25" s="214" t="s">
        <v>600</v>
      </c>
      <c r="E25" s="214">
        <v>39089</v>
      </c>
      <c r="F25" t="s">
        <v>432</v>
      </c>
    </row>
    <row r="26" spans="1:10">
      <c r="A26" s="2" t="s">
        <v>605</v>
      </c>
      <c r="B26" s="71"/>
      <c r="C26" s="212">
        <v>6000</v>
      </c>
      <c r="D26" s="215" t="s">
        <v>600</v>
      </c>
      <c r="E26" s="215">
        <v>39209</v>
      </c>
      <c r="F26" t="s">
        <v>432</v>
      </c>
    </row>
    <row r="27" spans="1:10">
      <c r="A27" s="2" t="s">
        <v>462</v>
      </c>
      <c r="B27" s="2"/>
      <c r="C27" s="212">
        <v>-39023</v>
      </c>
      <c r="D27" s="213">
        <v>39326</v>
      </c>
      <c r="E27" s="213">
        <v>39722</v>
      </c>
    </row>
    <row r="28" spans="1:10">
      <c r="A28" s="2" t="s">
        <v>433</v>
      </c>
      <c r="B28" s="2"/>
      <c r="C28" s="212">
        <v>-4202</v>
      </c>
      <c r="D28" s="213">
        <v>39326</v>
      </c>
      <c r="E28" s="216" t="s">
        <v>600</v>
      </c>
    </row>
    <row r="29" spans="1:10">
      <c r="A29" s="2" t="s">
        <v>434</v>
      </c>
      <c r="B29" s="2"/>
      <c r="C29" s="212">
        <v>-955</v>
      </c>
      <c r="D29" s="213">
        <v>39326</v>
      </c>
      <c r="E29" s="216" t="s">
        <v>600</v>
      </c>
    </row>
    <row r="30" spans="1:10">
      <c r="A30" s="2" t="s">
        <v>435</v>
      </c>
      <c r="B30" s="2"/>
      <c r="C30" s="212">
        <v>-7891</v>
      </c>
      <c r="D30" s="213">
        <v>39326</v>
      </c>
      <c r="E30" s="216" t="s">
        <v>600</v>
      </c>
    </row>
    <row r="31" spans="1:10" ht="12.75" customHeight="1">
      <c r="A31" s="2" t="s">
        <v>436</v>
      </c>
      <c r="B31" s="2"/>
      <c r="C31" s="212">
        <v>-1920</v>
      </c>
      <c r="D31" s="213">
        <v>39326</v>
      </c>
      <c r="E31" s="216">
        <v>39692</v>
      </c>
    </row>
    <row r="32" spans="1:10">
      <c r="A32" s="2" t="s">
        <v>437</v>
      </c>
      <c r="B32" s="2"/>
      <c r="C32" s="212">
        <v>15000</v>
      </c>
      <c r="D32" s="216" t="s">
        <v>600</v>
      </c>
      <c r="E32" s="213">
        <v>39332</v>
      </c>
    </row>
    <row r="33" spans="1:5">
      <c r="A33"/>
      <c r="B33" s="3" t="s">
        <v>438</v>
      </c>
      <c r="C33" s="217">
        <v>48326</v>
      </c>
    </row>
    <row r="34" spans="1:5">
      <c r="A34"/>
      <c r="B34" s="211"/>
      <c r="C34" s="70"/>
    </row>
    <row r="35" spans="1:5">
      <c r="A35"/>
      <c r="B35" s="211"/>
      <c r="C35"/>
    </row>
    <row r="36" spans="1:5">
      <c r="A36" s="1" t="s">
        <v>439</v>
      </c>
      <c r="B36" s="211"/>
      <c r="C36"/>
    </row>
    <row r="37" spans="1:5" ht="38.25">
      <c r="A37" s="1"/>
      <c r="B37" s="211"/>
      <c r="C37" s="72" t="s">
        <v>440</v>
      </c>
      <c r="E37" s="218" t="s">
        <v>441</v>
      </c>
    </row>
    <row r="38" spans="1:5">
      <c r="A38" s="2084"/>
      <c r="B38" s="2084"/>
      <c r="C38" s="155" t="s">
        <v>595</v>
      </c>
      <c r="D38" s="2082" t="s">
        <v>442</v>
      </c>
      <c r="E38" s="2082" t="s">
        <v>443</v>
      </c>
    </row>
    <row r="39" spans="1:5" ht="38.25">
      <c r="A39" s="2084"/>
      <c r="B39" s="2084"/>
      <c r="C39" s="155" t="s">
        <v>596</v>
      </c>
      <c r="D39" s="2082"/>
      <c r="E39" s="2082"/>
    </row>
    <row r="40" spans="1:5">
      <c r="A40" s="2" t="s">
        <v>602</v>
      </c>
      <c r="B40" s="2"/>
      <c r="C40" s="55">
        <v>-5400</v>
      </c>
      <c r="D40" s="219"/>
      <c r="E40" s="154"/>
    </row>
    <row r="41" spans="1:5">
      <c r="A41" s="2" t="s">
        <v>605</v>
      </c>
      <c r="B41" s="2"/>
      <c r="C41" s="55">
        <v>-6000</v>
      </c>
      <c r="D41" s="219"/>
      <c r="E41" s="154"/>
    </row>
    <row r="42" spans="1:5">
      <c r="A42" s="2" t="s">
        <v>610</v>
      </c>
      <c r="B42" s="2"/>
      <c r="C42" s="55">
        <v>11000</v>
      </c>
      <c r="D42" s="212">
        <v>12460</v>
      </c>
      <c r="E42" s="220">
        <v>1460</v>
      </c>
    </row>
    <row r="43" spans="1:5">
      <c r="A43" s="2" t="s">
        <v>612</v>
      </c>
      <c r="B43" s="2"/>
      <c r="C43" s="55">
        <v>55000</v>
      </c>
      <c r="D43" s="212">
        <v>60240</v>
      </c>
      <c r="E43" s="220">
        <v>5240</v>
      </c>
    </row>
    <row r="44" spans="1:5">
      <c r="A44" s="2" t="s">
        <v>614</v>
      </c>
      <c r="B44" s="2"/>
      <c r="C44" s="55">
        <v>1920</v>
      </c>
      <c r="D44" s="212"/>
      <c r="E44" s="154"/>
    </row>
    <row r="45" spans="1:5">
      <c r="A45" s="2" t="s">
        <v>458</v>
      </c>
      <c r="B45" s="2"/>
      <c r="C45" s="55">
        <v>-4320</v>
      </c>
      <c r="D45" s="219"/>
      <c r="E45" s="4"/>
    </row>
    <row r="46" spans="1:5">
      <c r="A46" s="2" t="s">
        <v>460</v>
      </c>
      <c r="B46" s="2"/>
      <c r="C46" s="55">
        <v>39000</v>
      </c>
      <c r="D46" s="212">
        <v>38828</v>
      </c>
      <c r="E46" s="220">
        <v>-172</v>
      </c>
    </row>
    <row r="47" spans="1:5">
      <c r="A47" s="2" t="s">
        <v>465</v>
      </c>
      <c r="B47" s="2"/>
      <c r="C47" s="22">
        <v>26000</v>
      </c>
      <c r="D47" s="221">
        <v>28975</v>
      </c>
      <c r="E47" s="222">
        <v>2975</v>
      </c>
    </row>
    <row r="48" spans="1:5">
      <c r="A48" s="2"/>
      <c r="B48" s="3" t="s">
        <v>444</v>
      </c>
      <c r="C48" s="157">
        <v>117200</v>
      </c>
      <c r="D48" s="223"/>
      <c r="E48" s="224">
        <v>9503</v>
      </c>
    </row>
    <row r="49" spans="1:6">
      <c r="A49"/>
      <c r="B49" s="211"/>
      <c r="C49"/>
      <c r="E49" s="1"/>
    </row>
    <row r="50" spans="1:6">
      <c r="A50"/>
      <c r="B50" s="211"/>
      <c r="C50"/>
    </row>
    <row r="51" spans="1:6">
      <c r="A51"/>
      <c r="B51" s="211"/>
      <c r="C51"/>
    </row>
    <row r="52" spans="1:6">
      <c r="A52" s="1" t="s">
        <v>445</v>
      </c>
      <c r="B52" s="211"/>
      <c r="C52"/>
    </row>
    <row r="53" spans="1:6">
      <c r="A53"/>
      <c r="B53" s="211"/>
      <c r="C53"/>
    </row>
    <row r="54" spans="1:6" ht="15.75">
      <c r="A54" s="225" t="s">
        <v>446</v>
      </c>
      <c r="B54" s="226"/>
      <c r="C54" s="227">
        <v>57829</v>
      </c>
      <c r="D54" s="228"/>
      <c r="E54" s="230"/>
      <c r="F54" s="228"/>
    </row>
    <row r="55" spans="1:6">
      <c r="A55"/>
      <c r="B55" s="211"/>
      <c r="C55" s="70">
        <v>1375700</v>
      </c>
      <c r="D55" t="s">
        <v>449</v>
      </c>
    </row>
    <row r="56" spans="1:6">
      <c r="C56" s="161">
        <v>1433529</v>
      </c>
      <c r="D56" t="s">
        <v>450</v>
      </c>
    </row>
    <row r="58" spans="1:6">
      <c r="A58" s="229" t="s">
        <v>451</v>
      </c>
    </row>
    <row r="59" spans="1:6">
      <c r="C59" s="158">
        <v>1433529</v>
      </c>
      <c r="D59" t="s">
        <v>452</v>
      </c>
    </row>
    <row r="60" spans="1:6">
      <c r="C60" s="158">
        <v>1491358</v>
      </c>
      <c r="D60" t="s">
        <v>453</v>
      </c>
    </row>
    <row r="62" spans="1:6">
      <c r="C62" s="158">
        <v>1491358</v>
      </c>
      <c r="D62" t="s">
        <v>454</v>
      </c>
    </row>
    <row r="63" spans="1:6">
      <c r="C63" s="158">
        <v>1549187</v>
      </c>
      <c r="D63" t="s">
        <v>455</v>
      </c>
    </row>
    <row r="65" spans="1:34" ht="15">
      <c r="A65" s="250" t="s">
        <v>328</v>
      </c>
      <c r="N65" s="800" t="s">
        <v>963</v>
      </c>
      <c r="O65" s="801"/>
      <c r="P65" s="801"/>
      <c r="Q65" s="801"/>
      <c r="R65" s="801"/>
      <c r="S65" s="801"/>
      <c r="T65" s="801"/>
      <c r="U65" s="801"/>
      <c r="V65" s="801"/>
      <c r="W65" s="801"/>
      <c r="Y65" s="887" t="s">
        <v>1087</v>
      </c>
      <c r="Z65" s="801"/>
      <c r="AA65" s="801"/>
      <c r="AB65" s="801"/>
      <c r="AC65" s="801"/>
      <c r="AD65" s="801"/>
      <c r="AE65" s="801"/>
      <c r="AF65" s="801"/>
      <c r="AG65" s="801"/>
      <c r="AH65" s="801"/>
    </row>
    <row r="66" spans="1:34" s="77" customFormat="1" ht="19.5" thickBot="1">
      <c r="A66" s="2080" t="s">
        <v>209</v>
      </c>
      <c r="B66" s="2080"/>
      <c r="C66" s="2080"/>
      <c r="D66" s="2080"/>
      <c r="E66" s="2080"/>
      <c r="F66" s="2080"/>
      <c r="G66"/>
      <c r="N66" s="2081" t="s">
        <v>209</v>
      </c>
      <c r="O66" s="2081"/>
      <c r="P66" s="801"/>
      <c r="Q66" s="801"/>
      <c r="R66" s="801"/>
      <c r="S66" s="801"/>
      <c r="T66" s="801"/>
      <c r="U66" s="801"/>
      <c r="V66" s="801"/>
      <c r="W66" s="801"/>
      <c r="X66" s="893"/>
      <c r="Y66" s="2081" t="s">
        <v>209</v>
      </c>
      <c r="Z66" s="2081"/>
      <c r="AA66" s="801"/>
      <c r="AB66" s="801"/>
      <c r="AC66" s="801"/>
      <c r="AD66" s="801"/>
      <c r="AE66" s="801"/>
      <c r="AF66" s="801"/>
      <c r="AG66" s="801"/>
      <c r="AH66" s="801"/>
    </row>
    <row r="67" spans="1:34" s="77" customFormat="1" ht="30">
      <c r="A67" s="297" t="s">
        <v>210</v>
      </c>
      <c r="B67" s="298" t="s">
        <v>211</v>
      </c>
      <c r="C67" s="298" t="s">
        <v>212</v>
      </c>
      <c r="D67" s="298" t="s">
        <v>213</v>
      </c>
      <c r="E67" s="298" t="s">
        <v>214</v>
      </c>
      <c r="F67" s="299" t="s">
        <v>215</v>
      </c>
      <c r="G67"/>
      <c r="H67" s="2076" t="s">
        <v>210</v>
      </c>
      <c r="I67" s="709" t="s">
        <v>215</v>
      </c>
      <c r="J67" s="709" t="s">
        <v>215</v>
      </c>
      <c r="K67" s="2078" t="s">
        <v>907</v>
      </c>
      <c r="L67" s="2078" t="s">
        <v>908</v>
      </c>
      <c r="N67" s="802" t="s">
        <v>210</v>
      </c>
      <c r="O67" s="803" t="s">
        <v>964</v>
      </c>
      <c r="P67" s="803" t="s">
        <v>965</v>
      </c>
      <c r="Q67" s="804" t="s">
        <v>907</v>
      </c>
      <c r="R67" s="805" t="s">
        <v>908</v>
      </c>
      <c r="S67" s="801"/>
      <c r="T67" s="801"/>
      <c r="U67" s="801"/>
      <c r="V67" s="801"/>
      <c r="W67" s="801"/>
      <c r="X67" s="893"/>
      <c r="Y67" s="802" t="s">
        <v>210</v>
      </c>
      <c r="Z67" s="888" t="s">
        <v>964</v>
      </c>
      <c r="AA67" s="888" t="s">
        <v>965</v>
      </c>
      <c r="AB67" s="804" t="s">
        <v>907</v>
      </c>
      <c r="AC67" s="889" t="s">
        <v>908</v>
      </c>
      <c r="AD67" s="890" t="s">
        <v>1088</v>
      </c>
      <c r="AE67" s="801"/>
      <c r="AF67" s="801"/>
      <c r="AG67" s="801"/>
      <c r="AH67" s="801"/>
    </row>
    <row r="68" spans="1:34" s="77" customFormat="1" ht="15.75" thickBot="1">
      <c r="A68" s="76" t="s">
        <v>216</v>
      </c>
      <c r="B68" s="300">
        <v>62442</v>
      </c>
      <c r="C68" s="300">
        <v>108160</v>
      </c>
      <c r="D68" s="300">
        <v>170489</v>
      </c>
      <c r="E68" s="300">
        <v>175603.67</v>
      </c>
      <c r="F68" s="301">
        <v>180871.7801</v>
      </c>
      <c r="G68"/>
      <c r="H68" s="2077"/>
      <c r="I68" s="702" t="s">
        <v>906</v>
      </c>
      <c r="J68" s="702" t="s">
        <v>549</v>
      </c>
      <c r="K68" s="2079"/>
      <c r="L68" s="2079"/>
      <c r="N68" s="806" t="s">
        <v>216</v>
      </c>
      <c r="O68" s="807">
        <v>180871.7801</v>
      </c>
      <c r="P68" s="807">
        <v>149016</v>
      </c>
      <c r="Q68" s="807">
        <v>153486.48000000001</v>
      </c>
      <c r="R68" s="807">
        <v>158091.07440000001</v>
      </c>
      <c r="S68" s="801"/>
      <c r="T68" s="801"/>
      <c r="U68" s="801"/>
      <c r="V68" s="801"/>
      <c r="W68" s="801"/>
      <c r="X68" s="893"/>
      <c r="Y68" s="806" t="s">
        <v>216</v>
      </c>
      <c r="Z68" s="807">
        <v>180871.7801</v>
      </c>
      <c r="AA68" s="807">
        <v>149016</v>
      </c>
      <c r="AB68" s="807">
        <v>153486.48000000001</v>
      </c>
      <c r="AC68" s="807">
        <v>158091.07440000001</v>
      </c>
      <c r="AD68" s="807">
        <v>162833.80663200002</v>
      </c>
      <c r="AE68" s="801"/>
      <c r="AF68" s="801"/>
      <c r="AG68" s="801"/>
      <c r="AH68" s="801"/>
    </row>
    <row r="69" spans="1:34" s="77" customFormat="1" ht="15.75" thickBot="1">
      <c r="A69" s="302"/>
      <c r="B69" s="303"/>
      <c r="C69" s="303"/>
      <c r="D69" s="303"/>
      <c r="E69" s="303"/>
      <c r="F69" s="304"/>
      <c r="G69"/>
      <c r="H69" s="703" t="s">
        <v>216</v>
      </c>
      <c r="I69" s="711">
        <v>180872</v>
      </c>
      <c r="J69" s="711">
        <v>162000</v>
      </c>
      <c r="K69" s="711">
        <v>166860</v>
      </c>
      <c r="L69" s="711">
        <v>171866</v>
      </c>
      <c r="N69" s="808"/>
      <c r="O69" s="809"/>
      <c r="P69" s="809"/>
      <c r="Q69" s="809"/>
      <c r="R69" s="809"/>
      <c r="S69" s="801"/>
      <c r="T69" s="801"/>
      <c r="U69" s="801"/>
      <c r="V69" s="801"/>
      <c r="W69" s="801"/>
      <c r="X69" s="893"/>
      <c r="Y69" s="808"/>
      <c r="Z69" s="809"/>
      <c r="AA69" s="809"/>
      <c r="AB69" s="809"/>
      <c r="AC69" s="809"/>
      <c r="AD69" s="809"/>
      <c r="AE69" s="801"/>
      <c r="AF69" s="801"/>
      <c r="AG69" s="801"/>
      <c r="AH69" s="801"/>
    </row>
    <row r="70" spans="1:34" s="77" customFormat="1" ht="15.75" thickBot="1">
      <c r="A70" s="76" t="s">
        <v>217</v>
      </c>
      <c r="B70" s="300">
        <v>96000</v>
      </c>
      <c r="C70" s="300">
        <v>96000</v>
      </c>
      <c r="D70" s="300">
        <v>72000</v>
      </c>
      <c r="E70" s="300">
        <v>48000</v>
      </c>
      <c r="F70" s="301">
        <v>48000</v>
      </c>
      <c r="G70"/>
      <c r="H70" s="704"/>
      <c r="I70" s="713"/>
      <c r="J70" s="713"/>
      <c r="K70" s="713"/>
      <c r="L70" s="713"/>
      <c r="N70" s="810" t="s">
        <v>909</v>
      </c>
      <c r="O70" s="807">
        <v>48000</v>
      </c>
      <c r="P70" s="807">
        <v>300000</v>
      </c>
      <c r="Q70" s="807">
        <v>200000</v>
      </c>
      <c r="R70" s="807">
        <v>200000</v>
      </c>
      <c r="S70" s="801"/>
      <c r="T70" s="801"/>
      <c r="U70" s="801"/>
      <c r="V70" s="801"/>
      <c r="W70" s="801"/>
      <c r="X70" s="893"/>
      <c r="Y70" s="891" t="s">
        <v>909</v>
      </c>
      <c r="Z70" s="807">
        <v>48000</v>
      </c>
      <c r="AA70" s="807">
        <v>300000</v>
      </c>
      <c r="AB70" s="807">
        <v>200000</v>
      </c>
      <c r="AC70" s="807">
        <v>200000</v>
      </c>
      <c r="AD70" s="807">
        <v>200000</v>
      </c>
      <c r="AE70" s="801"/>
      <c r="AF70" s="801"/>
      <c r="AG70" s="801"/>
      <c r="AH70" s="801"/>
    </row>
    <row r="71" spans="1:34" s="77" customFormat="1" ht="15.75" thickBot="1">
      <c r="A71" s="302"/>
      <c r="B71" s="303"/>
      <c r="C71" s="303"/>
      <c r="D71" s="303"/>
      <c r="E71" s="303"/>
      <c r="F71" s="304"/>
      <c r="G71"/>
      <c r="H71" s="703" t="s">
        <v>909</v>
      </c>
      <c r="I71" s="711">
        <v>48000</v>
      </c>
      <c r="J71" s="714">
        <v>300000</v>
      </c>
      <c r="K71" s="714">
        <v>280000</v>
      </c>
      <c r="L71" s="714">
        <v>250000</v>
      </c>
      <c r="N71" s="808"/>
      <c r="O71" s="809"/>
      <c r="P71" s="809"/>
      <c r="Q71" s="809"/>
      <c r="R71" s="809"/>
      <c r="S71" s="801"/>
      <c r="T71" s="801"/>
      <c r="U71" s="801"/>
      <c r="V71" s="801"/>
      <c r="W71" s="801"/>
      <c r="X71" s="893"/>
      <c r="Y71" s="808"/>
      <c r="Z71" s="809"/>
      <c r="AA71" s="809"/>
      <c r="AB71" s="809"/>
      <c r="AC71" s="809"/>
      <c r="AD71" s="809"/>
      <c r="AE71" s="801"/>
      <c r="AF71" s="801"/>
      <c r="AG71" s="801"/>
      <c r="AH71" s="801"/>
    </row>
    <row r="72" spans="1:34" s="77" customFormat="1" ht="15.75" thickBot="1">
      <c r="A72" s="76" t="s">
        <v>218</v>
      </c>
      <c r="B72" s="300">
        <v>122000</v>
      </c>
      <c r="C72" s="300">
        <v>125660</v>
      </c>
      <c r="D72" s="300">
        <v>129429.8</v>
      </c>
      <c r="E72" s="300">
        <v>133312.69400000002</v>
      </c>
      <c r="F72" s="301">
        <v>137312.07482000001</v>
      </c>
      <c r="G72"/>
      <c r="H72" s="704"/>
      <c r="I72" s="713"/>
      <c r="J72" s="713"/>
      <c r="K72" s="713"/>
      <c r="L72" s="713"/>
      <c r="N72" s="806" t="s">
        <v>218</v>
      </c>
      <c r="O72" s="807">
        <v>137312.07482000001</v>
      </c>
      <c r="P72" s="807">
        <v>50000</v>
      </c>
      <c r="Q72" s="807">
        <v>50000</v>
      </c>
      <c r="R72" s="807">
        <v>50000</v>
      </c>
      <c r="S72" s="801"/>
      <c r="T72" s="801"/>
      <c r="U72" s="801"/>
      <c r="V72" s="801"/>
      <c r="W72" s="801"/>
      <c r="X72" s="893"/>
      <c r="Y72" s="806" t="s">
        <v>218</v>
      </c>
      <c r="Z72" s="807">
        <v>137312.07482000001</v>
      </c>
      <c r="AA72" s="807">
        <v>50000</v>
      </c>
      <c r="AB72" s="807">
        <v>50000</v>
      </c>
      <c r="AC72" s="807">
        <v>50000</v>
      </c>
      <c r="AD72" s="807">
        <v>50000</v>
      </c>
      <c r="AE72" s="801"/>
      <c r="AF72" s="801"/>
      <c r="AG72" s="801"/>
      <c r="AH72" s="801"/>
    </row>
    <row r="73" spans="1:34" s="77" customFormat="1" ht="15.75" thickBot="1">
      <c r="A73" s="302"/>
      <c r="B73" s="303"/>
      <c r="C73" s="303"/>
      <c r="D73" s="303"/>
      <c r="E73" s="303"/>
      <c r="F73" s="304"/>
      <c r="G73"/>
      <c r="H73" s="703" t="s">
        <v>218</v>
      </c>
      <c r="I73" s="711">
        <v>137312</v>
      </c>
      <c r="J73" s="711">
        <v>50000</v>
      </c>
      <c r="K73" s="711">
        <v>50000</v>
      </c>
      <c r="L73" s="711">
        <v>50000</v>
      </c>
      <c r="N73" s="808"/>
      <c r="O73" s="809"/>
      <c r="P73" s="809"/>
      <c r="Q73" s="809"/>
      <c r="R73" s="809"/>
      <c r="S73" s="801"/>
      <c r="T73" s="801"/>
      <c r="U73" s="801"/>
      <c r="V73" s="801"/>
      <c r="W73" s="801"/>
      <c r="X73" s="893"/>
      <c r="Y73" s="808"/>
      <c r="Z73" s="809"/>
      <c r="AA73" s="809"/>
      <c r="AB73" s="809"/>
      <c r="AC73" s="809"/>
      <c r="AD73" s="809"/>
      <c r="AE73" s="801"/>
      <c r="AF73" s="801"/>
      <c r="AG73" s="801"/>
      <c r="AH73" s="801"/>
    </row>
    <row r="74" spans="1:34" s="77" customFormat="1" ht="15.75" thickBot="1">
      <c r="A74" s="305" t="s">
        <v>219</v>
      </c>
      <c r="B74" s="306">
        <v>102800</v>
      </c>
      <c r="C74" s="306">
        <v>106912</v>
      </c>
      <c r="D74" s="306">
        <v>80150</v>
      </c>
      <c r="E74" s="306">
        <v>71250</v>
      </c>
      <c r="F74" s="307">
        <v>62336</v>
      </c>
      <c r="G74"/>
      <c r="H74" s="704"/>
      <c r="I74" s="713"/>
      <c r="J74" s="713"/>
      <c r="K74" s="713"/>
      <c r="L74" s="713"/>
      <c r="N74" s="811" t="s">
        <v>219</v>
      </c>
      <c r="O74" s="812">
        <v>62336</v>
      </c>
      <c r="P74" s="812">
        <v>131539</v>
      </c>
      <c r="Q74" s="812">
        <v>138115.95000000001</v>
      </c>
      <c r="R74" s="812">
        <v>145021.74750000003</v>
      </c>
      <c r="S74" s="801"/>
      <c r="T74" s="801"/>
      <c r="U74" s="801"/>
      <c r="V74" s="801"/>
      <c r="W74" s="801"/>
      <c r="X74" s="893"/>
      <c r="Y74" s="811" t="s">
        <v>219</v>
      </c>
      <c r="Z74" s="812">
        <v>62336</v>
      </c>
      <c r="AA74" s="812">
        <v>131539</v>
      </c>
      <c r="AB74" s="812">
        <v>138115.95000000001</v>
      </c>
      <c r="AC74" s="812">
        <v>145021.74750000003</v>
      </c>
      <c r="AD74" s="812">
        <v>152272.83487500003</v>
      </c>
      <c r="AE74" s="801"/>
      <c r="AF74" s="801"/>
      <c r="AG74" s="801"/>
      <c r="AH74" s="801"/>
    </row>
    <row r="75" spans="1:34" s="77" customFormat="1" ht="15.75" thickBot="1">
      <c r="A75" s="302"/>
      <c r="B75" s="308"/>
      <c r="C75" s="308"/>
      <c r="D75" s="308"/>
      <c r="E75" s="308"/>
      <c r="F75" s="309"/>
      <c r="G75"/>
      <c r="H75" s="705" t="s">
        <v>219</v>
      </c>
      <c r="I75" s="715">
        <v>62336</v>
      </c>
      <c r="J75" s="716">
        <v>110000</v>
      </c>
      <c r="K75" s="716">
        <v>113300</v>
      </c>
      <c r="L75" s="716">
        <v>116699</v>
      </c>
      <c r="N75" s="808"/>
      <c r="O75" s="813"/>
      <c r="P75" s="813"/>
      <c r="Q75" s="813"/>
      <c r="R75" s="813"/>
      <c r="S75" s="801"/>
      <c r="T75" s="801"/>
      <c r="U75" s="801"/>
      <c r="V75" s="801"/>
      <c r="W75" s="801"/>
      <c r="X75" s="893"/>
      <c r="Y75" s="808"/>
      <c r="Z75" s="813"/>
      <c r="AA75" s="813"/>
      <c r="AB75" s="813"/>
      <c r="AC75" s="813"/>
      <c r="AD75" s="813"/>
      <c r="AE75" s="801"/>
      <c r="AF75" s="801"/>
      <c r="AG75" s="801"/>
      <c r="AH75" s="801"/>
    </row>
    <row r="76" spans="1:34" s="77" customFormat="1" ht="15.75" thickBot="1">
      <c r="A76" s="310" t="s">
        <v>625</v>
      </c>
      <c r="B76" s="311">
        <v>383242</v>
      </c>
      <c r="C76" s="311">
        <v>436732</v>
      </c>
      <c r="D76" s="311">
        <v>452068.8</v>
      </c>
      <c r="E76" s="311">
        <v>428166.36400000006</v>
      </c>
      <c r="F76" s="312">
        <v>428519.85492000001</v>
      </c>
      <c r="G76"/>
      <c r="H76" s="706"/>
      <c r="I76" s="707"/>
      <c r="J76" s="707"/>
      <c r="K76" s="707"/>
      <c r="L76" s="707"/>
      <c r="N76" s="814" t="s">
        <v>625</v>
      </c>
      <c r="O76" s="815">
        <v>428519.85492000001</v>
      </c>
      <c r="P76" s="815">
        <v>630555</v>
      </c>
      <c r="Q76" s="815">
        <v>541602.42999999993</v>
      </c>
      <c r="R76" s="815">
        <v>553112.8219000001</v>
      </c>
      <c r="S76" s="801"/>
      <c r="T76" s="801"/>
      <c r="U76" s="801"/>
      <c r="V76" s="801"/>
      <c r="W76" s="801"/>
      <c r="X76" s="893"/>
      <c r="Y76" s="814" t="s">
        <v>625</v>
      </c>
      <c r="Z76" s="815">
        <v>428519.85492000001</v>
      </c>
      <c r="AA76" s="815">
        <v>630555</v>
      </c>
      <c r="AB76" s="815">
        <v>541602.42999999993</v>
      </c>
      <c r="AC76" s="815">
        <v>553112.8219000001</v>
      </c>
      <c r="AD76" s="815">
        <v>565106.64150700008</v>
      </c>
      <c r="AE76" s="801"/>
      <c r="AF76" s="801"/>
      <c r="AG76" s="801"/>
      <c r="AH76" s="801"/>
    </row>
    <row r="77" spans="1:34" s="77" customFormat="1" ht="15.75" thickBot="1">
      <c r="A77"/>
      <c r="B77"/>
      <c r="C77"/>
      <c r="D77"/>
      <c r="E77"/>
      <c r="F77"/>
      <c r="G77"/>
      <c r="H77" s="708" t="s">
        <v>625</v>
      </c>
      <c r="I77" s="712">
        <v>428520</v>
      </c>
      <c r="J77" s="712">
        <v>622000</v>
      </c>
      <c r="K77" s="712">
        <v>610160</v>
      </c>
      <c r="L77" s="712">
        <v>588565</v>
      </c>
      <c r="N77" s="801"/>
      <c r="O77" s="801"/>
      <c r="P77" s="801"/>
      <c r="Q77" s="801"/>
      <c r="R77" s="801"/>
      <c r="S77" s="801"/>
      <c r="T77" s="801"/>
      <c r="U77" s="801"/>
      <c r="V77" s="801"/>
      <c r="W77" s="801"/>
      <c r="X77" s="893"/>
      <c r="Y77" s="801"/>
      <c r="Z77" s="801"/>
      <c r="AA77" s="801"/>
      <c r="AB77" s="801"/>
      <c r="AC77" s="801"/>
      <c r="AD77" s="801"/>
      <c r="AE77" s="801"/>
      <c r="AF77" s="801"/>
      <c r="AG77" s="801"/>
      <c r="AH77" s="801"/>
    </row>
    <row r="78" spans="1:34" s="77" customFormat="1" ht="15">
      <c r="A78"/>
      <c r="B78"/>
      <c r="C78"/>
      <c r="D78"/>
      <c r="E78" s="245"/>
      <c r="F78"/>
      <c r="G78"/>
      <c r="N78" s="801"/>
      <c r="O78" s="801"/>
      <c r="P78" s="801"/>
      <c r="Q78" s="801"/>
      <c r="R78" s="801"/>
      <c r="S78" s="801"/>
      <c r="T78" s="801"/>
      <c r="U78" s="801"/>
      <c r="V78" s="801"/>
      <c r="W78" s="801"/>
      <c r="X78" s="893"/>
      <c r="Y78" s="801"/>
      <c r="Z78" s="801"/>
      <c r="AA78" s="801"/>
      <c r="AB78" s="801"/>
      <c r="AC78" s="801"/>
      <c r="AD78" s="801"/>
      <c r="AE78" s="801"/>
      <c r="AF78" s="801"/>
      <c r="AG78" s="801"/>
      <c r="AH78" s="801"/>
    </row>
    <row r="79" spans="1:34" s="77" customFormat="1" ht="15">
      <c r="A79" s="313" t="s">
        <v>220</v>
      </c>
      <c r="B79"/>
      <c r="C79"/>
      <c r="D79"/>
      <c r="E79"/>
      <c r="F79"/>
      <c r="G79"/>
      <c r="H79" s="710" t="s">
        <v>220</v>
      </c>
      <c r="N79" s="816" t="s">
        <v>220</v>
      </c>
      <c r="O79" s="801"/>
      <c r="P79" s="801"/>
      <c r="Q79" s="801"/>
      <c r="R79" s="801"/>
      <c r="S79" s="801"/>
      <c r="T79" s="801"/>
      <c r="U79" s="801"/>
      <c r="V79" s="801"/>
      <c r="W79" s="801"/>
      <c r="X79" s="893"/>
      <c r="Y79" s="816" t="s">
        <v>220</v>
      </c>
      <c r="Z79" s="801"/>
      <c r="AA79" s="801"/>
      <c r="AB79" s="801"/>
      <c r="AC79" s="801"/>
      <c r="AD79" s="801"/>
      <c r="AE79" s="801"/>
      <c r="AF79" s="801"/>
      <c r="AG79" s="801"/>
      <c r="AH79" s="801"/>
    </row>
    <row r="80" spans="1:34" s="77" customFormat="1" ht="15">
      <c r="A80"/>
      <c r="B80"/>
      <c r="C80"/>
      <c r="D80"/>
      <c r="E80"/>
      <c r="F80"/>
      <c r="G80"/>
      <c r="H80" s="676"/>
      <c r="N80" s="801"/>
      <c r="O80" s="801"/>
      <c r="P80" s="801"/>
      <c r="Q80" s="801"/>
      <c r="R80" s="801"/>
      <c r="S80" s="801"/>
      <c r="T80" s="801"/>
      <c r="U80" s="801"/>
      <c r="V80" s="801"/>
      <c r="W80" s="801"/>
      <c r="X80" s="893"/>
      <c r="Y80" s="801"/>
      <c r="Z80" s="801"/>
      <c r="AA80" s="801"/>
      <c r="AB80" s="801"/>
      <c r="AC80" s="801"/>
      <c r="AD80" s="801"/>
      <c r="AE80" s="801"/>
      <c r="AF80" s="801"/>
      <c r="AG80" s="801"/>
      <c r="AH80" s="801"/>
    </row>
    <row r="81" spans="1:34" s="77" customFormat="1" ht="15">
      <c r="A81"/>
      <c r="B81"/>
      <c r="C81"/>
      <c r="D81"/>
      <c r="E81"/>
      <c r="F81"/>
      <c r="G81"/>
      <c r="N81" s="801"/>
      <c r="O81" s="801"/>
      <c r="P81" s="801"/>
      <c r="Q81" s="801"/>
      <c r="R81" s="801"/>
      <c r="S81" s="801"/>
      <c r="T81" s="801"/>
      <c r="U81" s="801"/>
      <c r="V81" s="801"/>
      <c r="W81" s="801"/>
      <c r="X81" s="893"/>
      <c r="Y81" s="801"/>
      <c r="Z81" s="801"/>
      <c r="AA81" s="801"/>
      <c r="AB81" s="801"/>
      <c r="AC81" s="801"/>
      <c r="AD81" s="801"/>
      <c r="AE81" s="801"/>
      <c r="AF81" s="801"/>
      <c r="AG81" s="801"/>
      <c r="AH81" s="801"/>
    </row>
    <row r="82" spans="1:34" s="77" customFormat="1" ht="15">
      <c r="A82"/>
      <c r="B82"/>
      <c r="C82"/>
      <c r="D82"/>
      <c r="E82"/>
      <c r="F82"/>
      <c r="G82"/>
      <c r="N82" s="801"/>
      <c r="O82" s="801"/>
      <c r="P82" s="801"/>
      <c r="Q82" s="801"/>
      <c r="R82" s="801"/>
      <c r="S82" s="801"/>
      <c r="T82" s="801"/>
      <c r="U82" s="801"/>
      <c r="V82" s="801"/>
      <c r="W82" s="801"/>
      <c r="X82" s="893"/>
      <c r="Y82" s="801"/>
      <c r="Z82" s="801"/>
      <c r="AA82" s="801"/>
      <c r="AB82" s="801"/>
      <c r="AC82" s="801"/>
      <c r="AD82" s="801"/>
      <c r="AE82" s="801"/>
      <c r="AF82" s="801"/>
      <c r="AG82" s="801"/>
      <c r="AH82" s="801"/>
    </row>
    <row r="83" spans="1:34" s="77" customFormat="1" ht="15">
      <c r="A83"/>
      <c r="B83"/>
      <c r="C83"/>
      <c r="D83"/>
      <c r="E83"/>
      <c r="F83"/>
      <c r="G83"/>
      <c r="N83" s="801"/>
      <c r="O83" s="801"/>
      <c r="P83" s="801"/>
      <c r="Q83" s="801"/>
      <c r="R83" s="801"/>
      <c r="S83" s="801"/>
      <c r="T83" s="801"/>
      <c r="U83" s="801"/>
      <c r="V83" s="801"/>
      <c r="W83" s="801"/>
      <c r="X83" s="893"/>
      <c r="Y83" s="801"/>
      <c r="Z83" s="801"/>
      <c r="AA83" s="801"/>
      <c r="AB83" s="801"/>
      <c r="AC83" s="801"/>
      <c r="AD83" s="801"/>
      <c r="AE83" s="801"/>
      <c r="AF83" s="801"/>
      <c r="AG83" s="801"/>
      <c r="AH83" s="801"/>
    </row>
    <row r="84" spans="1:34" s="77" customFormat="1" ht="15">
      <c r="A84"/>
      <c r="B84"/>
      <c r="C84"/>
      <c r="D84"/>
      <c r="E84"/>
      <c r="F84"/>
      <c r="G84"/>
      <c r="N84" s="801"/>
      <c r="O84" s="801"/>
      <c r="P84" s="801"/>
      <c r="Q84" s="801"/>
      <c r="R84" s="801"/>
      <c r="S84" s="801"/>
      <c r="T84" s="801"/>
      <c r="U84" s="801"/>
      <c r="V84" s="801"/>
      <c r="W84" s="801"/>
      <c r="X84" s="893"/>
      <c r="Y84" s="801"/>
      <c r="Z84" s="801"/>
      <c r="AA84" s="801"/>
      <c r="AB84" s="801"/>
      <c r="AC84" s="801"/>
      <c r="AD84" s="801"/>
      <c r="AE84" s="801"/>
      <c r="AF84" s="801"/>
      <c r="AG84" s="801"/>
      <c r="AH84" s="801"/>
    </row>
    <row r="85" spans="1:34" s="77" customFormat="1" ht="15">
      <c r="A85"/>
      <c r="B85"/>
      <c r="C85"/>
      <c r="D85"/>
      <c r="E85"/>
      <c r="F85"/>
      <c r="G85"/>
      <c r="N85" s="801"/>
      <c r="O85" s="801"/>
      <c r="P85" s="801"/>
      <c r="Q85" s="801"/>
      <c r="R85" s="801"/>
      <c r="S85" s="801"/>
      <c r="T85" s="801"/>
      <c r="U85" s="801"/>
      <c r="V85" s="801"/>
      <c r="W85" s="801"/>
      <c r="X85" s="893"/>
      <c r="Y85" s="801"/>
      <c r="Z85" s="801"/>
      <c r="AA85" s="801"/>
      <c r="AB85" s="801"/>
      <c r="AC85" s="801"/>
      <c r="AD85" s="801"/>
      <c r="AE85" s="801"/>
      <c r="AF85" s="801"/>
      <c r="AG85" s="801"/>
      <c r="AH85" s="801"/>
    </row>
    <row r="86" spans="1:34" s="77" customFormat="1" ht="15">
      <c r="A86"/>
      <c r="B86"/>
      <c r="C86"/>
      <c r="D86"/>
      <c r="E86"/>
      <c r="F86"/>
      <c r="G86"/>
      <c r="N86" s="801"/>
      <c r="O86" s="801"/>
      <c r="P86" s="801"/>
      <c r="Q86" s="801"/>
      <c r="R86" s="801"/>
      <c r="S86" s="801"/>
      <c r="T86" s="801"/>
      <c r="U86" s="801"/>
      <c r="V86" s="801"/>
      <c r="W86" s="801"/>
      <c r="X86" s="893"/>
      <c r="Y86" s="801"/>
      <c r="Z86" s="801"/>
      <c r="AA86" s="801"/>
      <c r="AB86" s="801"/>
      <c r="AC86" s="801"/>
      <c r="AD86" s="801"/>
      <c r="AE86" s="801"/>
      <c r="AF86" s="801"/>
      <c r="AG86" s="801"/>
      <c r="AH86" s="801"/>
    </row>
    <row r="87" spans="1:34" s="77" customFormat="1" ht="15">
      <c r="A87"/>
      <c r="B87"/>
      <c r="C87"/>
      <c r="D87"/>
      <c r="E87"/>
      <c r="F87"/>
      <c r="G87"/>
      <c r="N87" s="801"/>
      <c r="O87" s="801"/>
      <c r="P87" s="801"/>
      <c r="Q87" s="801"/>
      <c r="R87" s="801"/>
      <c r="S87" s="801"/>
      <c r="T87" s="801"/>
      <c r="U87" s="801"/>
      <c r="V87" s="801"/>
      <c r="W87" s="801"/>
      <c r="X87" s="893"/>
      <c r="Y87" s="801"/>
      <c r="Z87" s="801"/>
      <c r="AA87" s="801"/>
      <c r="AB87" s="801"/>
      <c r="AC87" s="801"/>
      <c r="AD87" s="801"/>
      <c r="AE87" s="801"/>
      <c r="AF87" s="801"/>
      <c r="AG87" s="801"/>
      <c r="AH87" s="801"/>
    </row>
    <row r="88" spans="1:34" s="77" customFormat="1" ht="15">
      <c r="A88"/>
      <c r="B88"/>
      <c r="C88"/>
      <c r="D88"/>
      <c r="E88"/>
      <c r="F88"/>
      <c r="G88"/>
      <c r="N88" s="801"/>
      <c r="O88" s="801"/>
      <c r="P88" s="801"/>
      <c r="Q88" s="801"/>
      <c r="R88" s="801"/>
      <c r="S88" s="801"/>
      <c r="T88" s="801"/>
      <c r="U88" s="801"/>
      <c r="V88" s="801"/>
      <c r="W88" s="801"/>
      <c r="X88" s="893"/>
      <c r="Y88" s="801"/>
      <c r="Z88" s="801"/>
      <c r="AA88" s="801"/>
      <c r="AB88" s="801"/>
      <c r="AC88" s="801"/>
      <c r="AD88" s="801"/>
      <c r="AE88" s="801"/>
      <c r="AF88" s="801"/>
      <c r="AG88" s="801"/>
      <c r="AH88" s="801"/>
    </row>
    <row r="89" spans="1:34" s="77" customFormat="1" ht="15">
      <c r="A89"/>
      <c r="B89"/>
      <c r="C89"/>
      <c r="D89"/>
      <c r="E89"/>
      <c r="F89"/>
      <c r="G89"/>
      <c r="N89" s="801"/>
      <c r="O89" s="801"/>
      <c r="P89" s="801"/>
      <c r="Q89" s="801"/>
      <c r="R89" s="801"/>
      <c r="S89" s="801"/>
      <c r="T89" s="801"/>
      <c r="U89" s="801"/>
      <c r="V89" s="801"/>
      <c r="W89" s="801"/>
      <c r="X89" s="893"/>
      <c r="Y89" s="801"/>
      <c r="Z89" s="801"/>
      <c r="AA89" s="801"/>
      <c r="AB89" s="801"/>
      <c r="AC89" s="801"/>
      <c r="AD89" s="801"/>
      <c r="AE89" s="801"/>
      <c r="AF89" s="801"/>
      <c r="AG89" s="801"/>
      <c r="AH89" s="801"/>
    </row>
    <row r="90" spans="1:34" s="77" customFormat="1" ht="15">
      <c r="A90"/>
      <c r="B90"/>
      <c r="C90"/>
      <c r="D90"/>
      <c r="E90"/>
      <c r="F90"/>
      <c r="G90"/>
      <c r="N90" s="801"/>
      <c r="O90" s="801"/>
      <c r="P90" s="801"/>
      <c r="Q90" s="801"/>
      <c r="R90" s="801"/>
      <c r="S90" s="801"/>
      <c r="T90" s="801"/>
      <c r="U90" s="801"/>
      <c r="V90" s="801"/>
      <c r="W90" s="801"/>
      <c r="X90" s="893"/>
    </row>
    <row r="91" spans="1:34" s="77" customFormat="1">
      <c r="A91"/>
      <c r="B91"/>
      <c r="C91"/>
      <c r="D91"/>
      <c r="E91"/>
      <c r="F91"/>
      <c r="G91"/>
      <c r="X91" s="893"/>
    </row>
    <row r="92" spans="1:34" s="77" customFormat="1">
      <c r="A92"/>
      <c r="B92"/>
      <c r="C92"/>
      <c r="D92"/>
      <c r="E92"/>
      <c r="F92"/>
      <c r="G92"/>
      <c r="X92" s="893"/>
    </row>
    <row r="93" spans="1:34" s="77" customFormat="1">
      <c r="A93"/>
      <c r="B93"/>
      <c r="C93"/>
      <c r="D93"/>
      <c r="E93"/>
      <c r="F93"/>
      <c r="G93"/>
      <c r="X93" s="893"/>
    </row>
    <row r="94" spans="1:34" s="77" customFormat="1">
      <c r="A94"/>
      <c r="B94"/>
      <c r="C94"/>
      <c r="D94"/>
      <c r="E94"/>
      <c r="F94"/>
      <c r="G94"/>
      <c r="X94" s="893"/>
    </row>
    <row r="95" spans="1:34" s="77" customFormat="1">
      <c r="A95"/>
      <c r="B95"/>
      <c r="C95"/>
      <c r="D95"/>
      <c r="E95"/>
      <c r="F95"/>
      <c r="G95"/>
      <c r="X95" s="893"/>
    </row>
    <row r="96" spans="1:34" s="77" customFormat="1">
      <c r="A96"/>
      <c r="B96"/>
      <c r="C96"/>
      <c r="D96"/>
      <c r="E96"/>
      <c r="F96"/>
      <c r="G96"/>
      <c r="X96" s="893"/>
    </row>
    <row r="97" spans="1:25" s="77" customFormat="1">
      <c r="A97"/>
      <c r="B97"/>
      <c r="C97"/>
      <c r="D97"/>
      <c r="E97"/>
      <c r="F97"/>
      <c r="G97"/>
      <c r="X97" s="893"/>
    </row>
    <row r="98" spans="1:25" s="77" customFormat="1">
      <c r="A98" s="295"/>
      <c r="B98" s="295"/>
      <c r="C98" s="296"/>
      <c r="X98" s="893"/>
    </row>
    <row r="99" spans="1:25" s="77" customFormat="1">
      <c r="A99" s="295"/>
      <c r="B99" s="295"/>
      <c r="C99" s="296"/>
      <c r="X99" s="893"/>
    </row>
    <row r="100" spans="1:25" ht="15">
      <c r="A100" s="249"/>
      <c r="C100"/>
    </row>
    <row r="101" spans="1:25">
      <c r="A101" s="1" t="s">
        <v>539</v>
      </c>
      <c r="C101"/>
    </row>
    <row r="102" spans="1:25">
      <c r="A102" s="1" t="s">
        <v>348</v>
      </c>
      <c r="B102" s="71"/>
      <c r="C102" s="258"/>
      <c r="D102" s="258"/>
      <c r="E102" s="71"/>
    </row>
    <row r="103" spans="1:25">
      <c r="A103" s="1"/>
      <c r="B103" s="71"/>
      <c r="C103" s="258"/>
      <c r="D103" s="258"/>
      <c r="E103" s="71"/>
    </row>
    <row r="104" spans="1:25" s="1" customFormat="1">
      <c r="B104" s="72">
        <v>2000</v>
      </c>
      <c r="C104" s="72">
        <v>2001</v>
      </c>
      <c r="D104" s="72" t="s">
        <v>349</v>
      </c>
      <c r="E104" s="72">
        <v>2002</v>
      </c>
      <c r="F104" s="72" t="s">
        <v>349</v>
      </c>
      <c r="G104" s="72">
        <v>2003</v>
      </c>
      <c r="H104" s="72" t="s">
        <v>349</v>
      </c>
      <c r="I104" s="72">
        <v>2004</v>
      </c>
      <c r="J104" s="72" t="s">
        <v>349</v>
      </c>
      <c r="K104" s="72">
        <v>2005</v>
      </c>
      <c r="L104" s="72" t="s">
        <v>349</v>
      </c>
      <c r="M104" s="72">
        <v>2006</v>
      </c>
      <c r="N104" s="72" t="s">
        <v>349</v>
      </c>
      <c r="O104" s="72">
        <v>2007</v>
      </c>
      <c r="P104" s="72" t="s">
        <v>349</v>
      </c>
      <c r="Q104" s="72">
        <v>2008</v>
      </c>
      <c r="R104" s="72" t="s">
        <v>349</v>
      </c>
      <c r="S104" s="72">
        <v>2009</v>
      </c>
      <c r="T104" s="72" t="s">
        <v>350</v>
      </c>
      <c r="U104" s="72">
        <v>2010</v>
      </c>
      <c r="V104" s="72" t="s">
        <v>350</v>
      </c>
      <c r="W104" s="72">
        <v>2011</v>
      </c>
      <c r="X104" s="894" t="s">
        <v>350</v>
      </c>
      <c r="Y104" s="72" t="s">
        <v>351</v>
      </c>
    </row>
    <row r="105" spans="1:25" s="1" customFormat="1">
      <c r="B105" s="259" t="s">
        <v>595</v>
      </c>
      <c r="C105" s="259"/>
      <c r="D105" s="260" t="s">
        <v>352</v>
      </c>
      <c r="E105" s="259"/>
      <c r="F105" s="260" t="s">
        <v>352</v>
      </c>
      <c r="G105" s="261" t="s">
        <v>595</v>
      </c>
      <c r="H105" s="260" t="s">
        <v>352</v>
      </c>
      <c r="I105" s="260" t="s">
        <v>595</v>
      </c>
      <c r="J105" s="260" t="s">
        <v>352</v>
      </c>
      <c r="K105" s="260" t="s">
        <v>595</v>
      </c>
      <c r="L105" s="260" t="s">
        <v>352</v>
      </c>
      <c r="M105" s="260" t="s">
        <v>595</v>
      </c>
      <c r="N105" s="260" t="s">
        <v>352</v>
      </c>
      <c r="O105" s="260" t="s">
        <v>595</v>
      </c>
      <c r="P105" s="260" t="s">
        <v>352</v>
      </c>
      <c r="Q105" s="260" t="s">
        <v>595</v>
      </c>
      <c r="R105" s="260" t="s">
        <v>352</v>
      </c>
      <c r="S105" s="260" t="s">
        <v>595</v>
      </c>
      <c r="T105" s="260" t="s">
        <v>352</v>
      </c>
      <c r="U105" s="260" t="s">
        <v>595</v>
      </c>
      <c r="V105" s="260" t="s">
        <v>352</v>
      </c>
      <c r="W105" s="260" t="s">
        <v>595</v>
      </c>
      <c r="X105" s="895" t="s">
        <v>352</v>
      </c>
      <c r="Y105" s="260" t="s">
        <v>352</v>
      </c>
    </row>
    <row r="106" spans="1:25">
      <c r="A106" s="1" t="s">
        <v>620</v>
      </c>
      <c r="B106" s="130">
        <v>246431</v>
      </c>
      <c r="C106" s="130">
        <v>250271</v>
      </c>
      <c r="D106" s="262">
        <v>1.5582455129427686E-2</v>
      </c>
      <c r="E106" s="130">
        <v>250271</v>
      </c>
      <c r="F106" s="263">
        <v>0</v>
      </c>
      <c r="G106" s="130">
        <v>265641</v>
      </c>
      <c r="H106" s="263">
        <v>6.1413427844216883E-2</v>
      </c>
      <c r="I106" s="164">
        <v>261866</v>
      </c>
      <c r="J106" s="262">
        <v>-1.4210908707616654E-2</v>
      </c>
      <c r="K106" s="70">
        <v>262506</v>
      </c>
      <c r="L106" s="262">
        <v>2.4439980753514501E-3</v>
      </c>
      <c r="M106" s="70">
        <v>262506</v>
      </c>
      <c r="N106" s="262">
        <v>0</v>
      </c>
      <c r="O106" s="70">
        <v>338423</v>
      </c>
      <c r="P106" s="262">
        <v>0.28920100873884791</v>
      </c>
      <c r="Q106" s="70">
        <v>338543</v>
      </c>
      <c r="R106" s="262">
        <v>3.5458582897729407E-4</v>
      </c>
      <c r="S106" s="264">
        <v>351952</v>
      </c>
      <c r="T106" s="262">
        <v>3.9607967082468054E-2</v>
      </c>
      <c r="U106" s="264">
        <v>300304</v>
      </c>
      <c r="V106" s="262">
        <v>-0.14674728372050738</v>
      </c>
      <c r="W106" s="264">
        <v>371241</v>
      </c>
      <c r="X106" s="896">
        <v>0.23621729980286643</v>
      </c>
      <c r="Y106" s="262">
        <v>0.50647037101663339</v>
      </c>
    </row>
    <row r="107" spans="1:25">
      <c r="A107" s="1" t="s">
        <v>353</v>
      </c>
      <c r="B107" s="130">
        <v>592230</v>
      </c>
      <c r="C107" s="130">
        <v>605555</v>
      </c>
      <c r="D107" s="262">
        <v>2.2499704506695029E-2</v>
      </c>
      <c r="E107" s="130">
        <v>605555</v>
      </c>
      <c r="F107" s="263">
        <v>0</v>
      </c>
      <c r="G107" s="130">
        <v>606067</v>
      </c>
      <c r="H107" s="263">
        <v>8.4550536284888622E-4</v>
      </c>
      <c r="I107" s="164">
        <v>577639</v>
      </c>
      <c r="J107" s="262">
        <v>-4.6905705144810739E-2</v>
      </c>
      <c r="K107" s="70">
        <v>607767</v>
      </c>
      <c r="L107" s="262">
        <v>5.215714312918629E-2</v>
      </c>
      <c r="M107" s="70">
        <v>679835</v>
      </c>
      <c r="N107" s="262">
        <v>0.11857833676392437</v>
      </c>
      <c r="O107" s="70">
        <v>679084</v>
      </c>
      <c r="P107" s="262">
        <v>-1.1046798120132317E-3</v>
      </c>
      <c r="Q107" s="70">
        <v>553189</v>
      </c>
      <c r="R107" s="262">
        <v>-0.18538943635838867</v>
      </c>
      <c r="S107" s="264">
        <v>584892</v>
      </c>
      <c r="T107" s="262">
        <v>5.7309527123641235E-2</v>
      </c>
      <c r="U107" s="264">
        <v>563963</v>
      </c>
      <c r="V107" s="262">
        <v>-3.5782674408266879E-2</v>
      </c>
      <c r="W107" s="264">
        <v>734968</v>
      </c>
      <c r="X107" s="896">
        <v>0.30322024671831316</v>
      </c>
      <c r="Y107" s="262">
        <v>0.24101784779561997</v>
      </c>
    </row>
    <row r="108" spans="1:25">
      <c r="A108" s="1" t="s">
        <v>619</v>
      </c>
      <c r="B108" s="130">
        <v>333162</v>
      </c>
      <c r="C108" s="130">
        <v>333968</v>
      </c>
      <c r="D108" s="265">
        <v>2.4192434911545213E-3</v>
      </c>
      <c r="E108" s="130">
        <v>383337</v>
      </c>
      <c r="F108" s="266">
        <v>0.14782554017151339</v>
      </c>
      <c r="G108" s="130">
        <v>383337</v>
      </c>
      <c r="H108" s="266">
        <v>0</v>
      </c>
      <c r="I108" s="164">
        <v>381387</v>
      </c>
      <c r="J108" s="262">
        <v>-5.0869078643596133E-3</v>
      </c>
      <c r="K108" s="70">
        <v>388227</v>
      </c>
      <c r="L108" s="262">
        <v>1.7934538932894872E-2</v>
      </c>
      <c r="M108" s="70">
        <v>388227</v>
      </c>
      <c r="N108" s="262">
        <v>0</v>
      </c>
      <c r="O108" s="70">
        <v>446412</v>
      </c>
      <c r="P108" s="262">
        <v>0.14987365639175021</v>
      </c>
      <c r="Q108" s="70">
        <v>481928</v>
      </c>
      <c r="R108" s="262">
        <v>7.9558793222404445E-2</v>
      </c>
      <c r="S108" s="264">
        <v>484058.17</v>
      </c>
      <c r="T108" s="262">
        <v>4.4201000979398053E-3</v>
      </c>
      <c r="U108" s="264">
        <v>492879.17</v>
      </c>
      <c r="V108" s="262">
        <v>1.8223016461017538E-2</v>
      </c>
      <c r="W108" s="264">
        <v>561336.41999999993</v>
      </c>
      <c r="X108" s="896">
        <v>0.13889256062494981</v>
      </c>
      <c r="Y108" s="262">
        <v>0.6848752858969509</v>
      </c>
    </row>
    <row r="109" spans="1:25" s="1" customFormat="1">
      <c r="B109" s="267">
        <v>1171823</v>
      </c>
      <c r="C109" s="267">
        <v>1189794</v>
      </c>
      <c r="D109" s="268">
        <v>1.5335933839837557E-2</v>
      </c>
      <c r="E109" s="267">
        <v>1239163</v>
      </c>
      <c r="F109" s="268">
        <v>4.1493737571377975E-2</v>
      </c>
      <c r="G109" s="267">
        <v>1255045</v>
      </c>
      <c r="H109" s="268">
        <v>1.2816715799293554E-2</v>
      </c>
      <c r="I109" s="269">
        <v>1220892</v>
      </c>
      <c r="J109" s="270">
        <v>-2.7212570067208786E-2</v>
      </c>
      <c r="K109" s="269">
        <v>1258500</v>
      </c>
      <c r="L109" s="270">
        <v>3.0803707453239015E-2</v>
      </c>
      <c r="M109" s="269">
        <v>1330568</v>
      </c>
      <c r="N109" s="270">
        <v>5.7264998013508039E-2</v>
      </c>
      <c r="O109" s="269">
        <v>1463919</v>
      </c>
      <c r="P109" s="270">
        <v>0.10022110857919331</v>
      </c>
      <c r="Q109" s="269">
        <v>1373660</v>
      </c>
      <c r="R109" s="270">
        <v>-6.1655733684718883E-2</v>
      </c>
      <c r="S109" s="271">
        <v>1420902.17</v>
      </c>
      <c r="T109" s="270">
        <v>3.4391457857111618E-2</v>
      </c>
      <c r="U109" s="271">
        <v>1357146.17</v>
      </c>
      <c r="V109" s="270">
        <v>-4.4870084194466364E-2</v>
      </c>
      <c r="W109" s="271">
        <v>1667545.42</v>
      </c>
      <c r="X109" s="897">
        <v>0.17358214746058143</v>
      </c>
      <c r="Y109" s="270">
        <v>0.17224188294648601</v>
      </c>
    </row>
    <row r="110" spans="1:25">
      <c r="A110"/>
      <c r="C110"/>
    </row>
    <row r="111" spans="1:25">
      <c r="A111"/>
      <c r="C111"/>
    </row>
    <row r="112" spans="1:25">
      <c r="A112" s="71" t="s">
        <v>256</v>
      </c>
      <c r="C112"/>
    </row>
    <row r="114" spans="1:24">
      <c r="A114" s="1" t="s">
        <v>191</v>
      </c>
      <c r="B114" s="71"/>
      <c r="C114" s="258"/>
      <c r="D114" s="258"/>
      <c r="E114" s="71"/>
    </row>
    <row r="115" spans="1:24">
      <c r="A115" s="71"/>
      <c r="B115" s="257">
        <v>2000</v>
      </c>
      <c r="C115" s="257">
        <v>2003</v>
      </c>
      <c r="D115" s="257" t="s">
        <v>349</v>
      </c>
      <c r="E115" s="257">
        <v>2004</v>
      </c>
      <c r="F115" s="323" t="s">
        <v>349</v>
      </c>
      <c r="G115" s="323">
        <v>2005</v>
      </c>
      <c r="H115" s="323" t="s">
        <v>349</v>
      </c>
      <c r="I115" s="323">
        <v>2006</v>
      </c>
      <c r="J115" s="323" t="s">
        <v>349</v>
      </c>
      <c r="K115" s="323">
        <v>2007</v>
      </c>
      <c r="L115" s="323" t="s">
        <v>349</v>
      </c>
      <c r="M115" s="323">
        <v>2008</v>
      </c>
      <c r="N115" s="323" t="s">
        <v>349</v>
      </c>
      <c r="O115" s="323">
        <v>2009</v>
      </c>
      <c r="P115" s="323" t="s">
        <v>350</v>
      </c>
      <c r="Q115" s="323">
        <v>2010</v>
      </c>
      <c r="R115" s="323" t="s">
        <v>350</v>
      </c>
      <c r="S115" s="323">
        <v>2011</v>
      </c>
      <c r="T115" s="323" t="s">
        <v>350</v>
      </c>
      <c r="U115" s="257" t="s">
        <v>351</v>
      </c>
      <c r="W115" s="323">
        <v>2000</v>
      </c>
      <c r="X115" s="898">
        <v>2003</v>
      </c>
    </row>
    <row r="116" spans="1:24">
      <c r="A116" s="71"/>
      <c r="B116" s="324" t="s">
        <v>595</v>
      </c>
      <c r="C116" s="325" t="s">
        <v>595</v>
      </c>
      <c r="D116" s="326" t="s">
        <v>352</v>
      </c>
      <c r="E116" s="326" t="s">
        <v>595</v>
      </c>
      <c r="F116" s="326" t="s">
        <v>352</v>
      </c>
      <c r="G116" s="326" t="s">
        <v>595</v>
      </c>
      <c r="H116" s="326" t="s">
        <v>352</v>
      </c>
      <c r="I116" s="326" t="s">
        <v>595</v>
      </c>
      <c r="J116" s="326" t="s">
        <v>352</v>
      </c>
      <c r="K116" s="326" t="s">
        <v>595</v>
      </c>
      <c r="L116" s="326" t="s">
        <v>352</v>
      </c>
      <c r="M116" s="326" t="s">
        <v>595</v>
      </c>
      <c r="N116" s="326" t="s">
        <v>352</v>
      </c>
      <c r="O116" s="326" t="s">
        <v>595</v>
      </c>
      <c r="P116" s="326" t="s">
        <v>352</v>
      </c>
      <c r="Q116" s="326" t="s">
        <v>595</v>
      </c>
      <c r="R116" s="326" t="s">
        <v>352</v>
      </c>
      <c r="S116" s="326" t="s">
        <v>595</v>
      </c>
      <c r="T116" s="326" t="s">
        <v>352</v>
      </c>
      <c r="U116" s="326" t="s">
        <v>352</v>
      </c>
      <c r="W116" s="325" t="s">
        <v>253</v>
      </c>
      <c r="X116" s="899" t="s">
        <v>253</v>
      </c>
    </row>
    <row r="117" spans="1:24">
      <c r="A117" s="71" t="s">
        <v>620</v>
      </c>
      <c r="B117" s="130">
        <v>246431</v>
      </c>
      <c r="C117" s="130">
        <v>265641</v>
      </c>
      <c r="D117" s="263">
        <v>7.7952854957371587E-2</v>
      </c>
      <c r="E117" s="164">
        <v>261866</v>
      </c>
      <c r="F117" s="262">
        <v>-1.4210908707616654E-2</v>
      </c>
      <c r="G117" s="70">
        <v>262506</v>
      </c>
      <c r="H117" s="262">
        <v>2.4439980753514501E-3</v>
      </c>
      <c r="I117" s="70">
        <v>262506</v>
      </c>
      <c r="J117" s="262">
        <v>0</v>
      </c>
      <c r="K117" s="70">
        <v>338423</v>
      </c>
      <c r="L117" s="262">
        <v>0.28920100873884791</v>
      </c>
      <c r="M117" s="70">
        <v>338423</v>
      </c>
      <c r="N117" s="327">
        <v>0</v>
      </c>
      <c r="O117" s="431">
        <v>352215</v>
      </c>
      <c r="P117" s="262">
        <v>4.0753731277129557E-2</v>
      </c>
      <c r="Q117" s="264">
        <v>331445</v>
      </c>
      <c r="R117" s="262">
        <v>-5.8969663415811335E-2</v>
      </c>
      <c r="S117" s="264">
        <v>370945</v>
      </c>
      <c r="T117" s="262">
        <v>0.11917512709499323</v>
      </c>
      <c r="U117" s="262">
        <v>0.50526922343374014</v>
      </c>
      <c r="W117" s="328">
        <v>186499.80755229801</v>
      </c>
      <c r="X117" s="900">
        <v>201038</v>
      </c>
    </row>
    <row r="118" spans="1:24">
      <c r="A118" s="71" t="s">
        <v>353</v>
      </c>
      <c r="B118" s="130">
        <v>592230</v>
      </c>
      <c r="C118" s="130">
        <v>606067</v>
      </c>
      <c r="D118" s="263">
        <v>2.3364233490366981E-2</v>
      </c>
      <c r="E118" s="164">
        <v>577639</v>
      </c>
      <c r="F118" s="262">
        <v>-4.6905705144810739E-2</v>
      </c>
      <c r="G118" s="70">
        <v>607767</v>
      </c>
      <c r="H118" s="262">
        <v>5.215714312918629E-2</v>
      </c>
      <c r="I118" s="70">
        <v>679835</v>
      </c>
      <c r="J118" s="262">
        <v>0.11857833676392437</v>
      </c>
      <c r="K118" s="70">
        <v>679084</v>
      </c>
      <c r="L118" s="262">
        <v>-1.1046798120132317E-3</v>
      </c>
      <c r="M118" s="70">
        <v>565720</v>
      </c>
      <c r="N118" s="262">
        <v>-0.16693663817730942</v>
      </c>
      <c r="O118" s="431">
        <v>565720</v>
      </c>
      <c r="P118" s="262">
        <v>0</v>
      </c>
      <c r="Q118" s="264">
        <v>619799</v>
      </c>
      <c r="R118" s="262">
        <v>9.5593226331047054E-2</v>
      </c>
      <c r="S118" s="264">
        <v>790102</v>
      </c>
      <c r="T118" s="262">
        <v>0.2747713371593048</v>
      </c>
      <c r="U118" s="262">
        <v>0.33411343565844343</v>
      </c>
      <c r="W118" s="328">
        <v>485535.82755701925</v>
      </c>
      <c r="X118" s="900">
        <v>496880</v>
      </c>
    </row>
    <row r="119" spans="1:24">
      <c r="A119" s="71" t="s">
        <v>619</v>
      </c>
      <c r="B119" s="130">
        <v>333162</v>
      </c>
      <c r="C119" s="130">
        <v>383337</v>
      </c>
      <c r="D119" s="263">
        <v>0.15060240963855431</v>
      </c>
      <c r="E119" s="164">
        <v>381387</v>
      </c>
      <c r="F119" s="262">
        <v>-5.0869078643596133E-3</v>
      </c>
      <c r="G119" s="70">
        <v>388227</v>
      </c>
      <c r="H119" s="262">
        <v>1.7934538932894872E-2</v>
      </c>
      <c r="I119" s="70">
        <v>388227</v>
      </c>
      <c r="J119" s="262">
        <v>0</v>
      </c>
      <c r="K119" s="70">
        <v>446412</v>
      </c>
      <c r="L119" s="262">
        <v>0.14987365639175021</v>
      </c>
      <c r="M119" s="70">
        <v>445552</v>
      </c>
      <c r="N119" s="262">
        <v>-1.9264715106225294E-3</v>
      </c>
      <c r="O119" s="431">
        <v>460350</v>
      </c>
      <c r="P119" s="262">
        <v>3.3212733867203026E-2</v>
      </c>
      <c r="Q119" s="264">
        <v>493712</v>
      </c>
      <c r="R119" s="262">
        <v>7.2470946019333127E-2</v>
      </c>
      <c r="S119" s="264">
        <v>588533</v>
      </c>
      <c r="T119" s="262">
        <v>0.19205731276533689</v>
      </c>
      <c r="U119" s="262">
        <v>0.76650698459007938</v>
      </c>
      <c r="W119" s="328">
        <v>210622.71204188481</v>
      </c>
      <c r="X119" s="900">
        <v>242343</v>
      </c>
    </row>
    <row r="120" spans="1:24">
      <c r="A120" s="71"/>
      <c r="B120" s="329">
        <v>1171823</v>
      </c>
      <c r="C120" s="329">
        <v>1255045</v>
      </c>
      <c r="D120" s="330">
        <v>6.52604181841272E-2</v>
      </c>
      <c r="E120" s="331">
        <v>1220892</v>
      </c>
      <c r="F120" s="332">
        <v>-2.7212570067208786E-2</v>
      </c>
      <c r="G120" s="333">
        <v>1258500</v>
      </c>
      <c r="H120" s="332">
        <v>3.0803707453239015E-2</v>
      </c>
      <c r="I120" s="333">
        <v>1330568</v>
      </c>
      <c r="J120" s="332">
        <v>5.7264998013508039E-2</v>
      </c>
      <c r="K120" s="333">
        <v>1463919</v>
      </c>
      <c r="L120" s="332">
        <v>0.10022110857919331</v>
      </c>
      <c r="M120" s="333">
        <v>1349695</v>
      </c>
      <c r="N120" s="332">
        <v>-7.8026174945471705E-2</v>
      </c>
      <c r="O120" s="334">
        <v>1378285</v>
      </c>
      <c r="P120" s="332">
        <v>2.1182563468042703E-2</v>
      </c>
      <c r="Q120" s="334">
        <v>1444956</v>
      </c>
      <c r="R120" s="332">
        <v>4.8372433858019148E-2</v>
      </c>
      <c r="S120" s="334">
        <v>1749580</v>
      </c>
      <c r="T120" s="332">
        <v>0.26938913214610904</v>
      </c>
      <c r="U120" s="332">
        <v>0.15179084213230154</v>
      </c>
      <c r="W120" s="153">
        <v>882658.34715120203</v>
      </c>
      <c r="X120" s="901">
        <v>940261</v>
      </c>
    </row>
    <row r="123" spans="1:24" ht="13.5" thickBot="1">
      <c r="A123" s="430" t="s">
        <v>190</v>
      </c>
      <c r="Q123" s="322"/>
    </row>
    <row r="124" spans="1:24" ht="30.75" thickBot="1">
      <c r="A124" s="425" t="s">
        <v>185</v>
      </c>
      <c r="B124" s="426" t="s">
        <v>186</v>
      </c>
      <c r="C124" s="426" t="s">
        <v>595</v>
      </c>
    </row>
    <row r="125" spans="1:24" ht="29.25" thickBot="1">
      <c r="A125" s="427" t="s">
        <v>187</v>
      </c>
      <c r="B125" s="428">
        <v>236438</v>
      </c>
      <c r="C125" s="428">
        <v>352215</v>
      </c>
    </row>
    <row r="126" spans="1:24" ht="29.25" thickBot="1">
      <c r="A126" s="427" t="s">
        <v>188</v>
      </c>
      <c r="B126" s="428">
        <v>366137</v>
      </c>
      <c r="C126" s="428">
        <v>540791</v>
      </c>
    </row>
    <row r="127" spans="1:24" ht="29.25" thickBot="1">
      <c r="A127" s="427" t="s">
        <v>189</v>
      </c>
      <c r="B127" s="428">
        <v>304130</v>
      </c>
      <c r="C127" s="428">
        <v>460350</v>
      </c>
    </row>
    <row r="128" spans="1:24" ht="29.25" thickBot="1">
      <c r="A128" s="427" t="s">
        <v>622</v>
      </c>
      <c r="B128" s="428">
        <v>13192</v>
      </c>
      <c r="C128" s="428">
        <v>24929</v>
      </c>
    </row>
    <row r="129" spans="1:25" ht="15" thickBot="1">
      <c r="A129" s="427" t="s">
        <v>625</v>
      </c>
      <c r="B129" s="429">
        <v>919897</v>
      </c>
      <c r="C129" s="429">
        <v>1378285</v>
      </c>
    </row>
    <row r="132" spans="1:25" s="82" customFormat="1" ht="13.5" thickBot="1">
      <c r="A132" s="432"/>
      <c r="C132" s="433"/>
      <c r="X132" s="902"/>
    </row>
    <row r="133" spans="1:25">
      <c r="A133" s="1" t="s">
        <v>77</v>
      </c>
      <c r="B133" s="71"/>
      <c r="C133" s="258"/>
      <c r="D133" s="258"/>
      <c r="E133" s="71"/>
    </row>
    <row r="134" spans="1:25">
      <c r="A134" s="71"/>
      <c r="B134" s="257">
        <v>2000</v>
      </c>
      <c r="C134" s="257">
        <v>2003</v>
      </c>
      <c r="D134" s="257" t="s">
        <v>349</v>
      </c>
      <c r="E134" s="257">
        <v>2004</v>
      </c>
      <c r="F134" s="323" t="s">
        <v>349</v>
      </c>
      <c r="G134" s="323">
        <v>2005</v>
      </c>
      <c r="H134" s="323" t="s">
        <v>349</v>
      </c>
      <c r="I134" s="323">
        <v>2006</v>
      </c>
      <c r="J134" s="323" t="s">
        <v>349</v>
      </c>
      <c r="K134" s="323">
        <v>2007</v>
      </c>
      <c r="L134" s="323" t="s">
        <v>349</v>
      </c>
      <c r="M134" s="323">
        <v>2008</v>
      </c>
      <c r="N134" s="323" t="s">
        <v>349</v>
      </c>
      <c r="O134" s="323">
        <v>2009</v>
      </c>
      <c r="P134" s="323" t="s">
        <v>350</v>
      </c>
      <c r="Q134" s="323">
        <v>2010</v>
      </c>
      <c r="R134" s="323" t="s">
        <v>350</v>
      </c>
      <c r="S134" s="323">
        <v>2011</v>
      </c>
      <c r="T134" s="323" t="s">
        <v>350</v>
      </c>
      <c r="U134" s="257" t="s">
        <v>351</v>
      </c>
      <c r="W134" s="323">
        <v>2000</v>
      </c>
      <c r="X134" s="898">
        <v>2003</v>
      </c>
    </row>
    <row r="135" spans="1:25">
      <c r="A135" s="71"/>
      <c r="B135" s="324" t="s">
        <v>595</v>
      </c>
      <c r="C135" s="325" t="s">
        <v>595</v>
      </c>
      <c r="D135" s="326" t="s">
        <v>352</v>
      </c>
      <c r="E135" s="326" t="s">
        <v>595</v>
      </c>
      <c r="F135" s="326" t="s">
        <v>352</v>
      </c>
      <c r="G135" s="326" t="s">
        <v>595</v>
      </c>
      <c r="H135" s="326" t="s">
        <v>352</v>
      </c>
      <c r="I135" s="326" t="s">
        <v>595</v>
      </c>
      <c r="J135" s="326" t="s">
        <v>352</v>
      </c>
      <c r="K135" s="326" t="s">
        <v>595</v>
      </c>
      <c r="L135" s="326" t="s">
        <v>352</v>
      </c>
      <c r="M135" s="326" t="s">
        <v>595</v>
      </c>
      <c r="N135" s="326" t="s">
        <v>352</v>
      </c>
      <c r="O135" s="326" t="s">
        <v>595</v>
      </c>
      <c r="P135" s="326" t="s">
        <v>352</v>
      </c>
      <c r="Q135" s="326" t="s">
        <v>595</v>
      </c>
      <c r="R135" s="326" t="s">
        <v>352</v>
      </c>
      <c r="S135" s="326" t="s">
        <v>595</v>
      </c>
      <c r="T135" s="326" t="s">
        <v>352</v>
      </c>
      <c r="U135" s="326" t="s">
        <v>352</v>
      </c>
      <c r="W135" s="325" t="s">
        <v>253</v>
      </c>
      <c r="X135" s="899" t="s">
        <v>253</v>
      </c>
    </row>
    <row r="136" spans="1:25">
      <c r="A136" s="71" t="s">
        <v>620</v>
      </c>
      <c r="B136" s="130">
        <v>246431</v>
      </c>
      <c r="C136" s="130">
        <v>265641</v>
      </c>
      <c r="D136" s="263">
        <v>7.7952854957371587E-2</v>
      </c>
      <c r="E136" s="164">
        <v>261866</v>
      </c>
      <c r="F136" s="262">
        <v>-1.4210908707616654E-2</v>
      </c>
      <c r="G136" s="70">
        <v>262506</v>
      </c>
      <c r="H136" s="262">
        <v>2.4439980753514501E-3</v>
      </c>
      <c r="I136" s="70">
        <v>262506</v>
      </c>
      <c r="J136" s="262">
        <v>0</v>
      </c>
      <c r="K136" s="70">
        <v>338423</v>
      </c>
      <c r="L136" s="262">
        <v>0.28920100873884791</v>
      </c>
      <c r="M136" s="70">
        <v>338423</v>
      </c>
      <c r="N136" s="327">
        <v>0</v>
      </c>
      <c r="O136" s="264">
        <v>352215</v>
      </c>
      <c r="P136" s="262">
        <v>4.0753731277129557E-2</v>
      </c>
      <c r="Q136" s="264">
        <v>352215</v>
      </c>
      <c r="R136" s="262">
        <v>0</v>
      </c>
      <c r="S136" s="264">
        <v>352215</v>
      </c>
      <c r="T136" s="262">
        <v>0</v>
      </c>
      <c r="U136" s="262">
        <v>0.42926417536754702</v>
      </c>
      <c r="W136" s="328">
        <v>186499.80755229801</v>
      </c>
      <c r="X136" s="900">
        <v>201038</v>
      </c>
    </row>
    <row r="137" spans="1:25">
      <c r="A137" s="71" t="s">
        <v>353</v>
      </c>
      <c r="B137" s="130">
        <v>592230</v>
      </c>
      <c r="C137" s="130">
        <v>606067</v>
      </c>
      <c r="D137" s="263">
        <v>2.3364233490366981E-2</v>
      </c>
      <c r="E137" s="164">
        <v>577639</v>
      </c>
      <c r="F137" s="262">
        <v>-4.6905705144810739E-2</v>
      </c>
      <c r="G137" s="70">
        <v>607767</v>
      </c>
      <c r="H137" s="262">
        <v>5.215714312918629E-2</v>
      </c>
      <c r="I137" s="70">
        <v>679835</v>
      </c>
      <c r="J137" s="262">
        <v>0.11857833676392437</v>
      </c>
      <c r="K137" s="70">
        <v>679084</v>
      </c>
      <c r="L137" s="262">
        <v>-1.1046798120132317E-3</v>
      </c>
      <c r="M137" s="70">
        <v>565720</v>
      </c>
      <c r="N137" s="262">
        <v>-0.16693663817730942</v>
      </c>
      <c r="O137" s="264">
        <v>565720</v>
      </c>
      <c r="P137" s="262">
        <v>0</v>
      </c>
      <c r="Q137" s="264">
        <v>654094</v>
      </c>
      <c r="R137" s="262">
        <v>0.15621508873647749</v>
      </c>
      <c r="S137" s="264">
        <v>722897</v>
      </c>
      <c r="T137" s="262">
        <v>0.10518824511461666</v>
      </c>
      <c r="U137" s="262">
        <v>0.22063556388565253</v>
      </c>
      <c r="W137" s="328">
        <v>485535.82755701925</v>
      </c>
      <c r="X137" s="900">
        <v>496880</v>
      </c>
    </row>
    <row r="138" spans="1:25">
      <c r="A138" s="71" t="s">
        <v>619</v>
      </c>
      <c r="B138" s="130">
        <v>333162</v>
      </c>
      <c r="C138" s="130">
        <v>383337</v>
      </c>
      <c r="D138" s="263">
        <v>0.15060240963855431</v>
      </c>
      <c r="E138" s="164">
        <v>381387</v>
      </c>
      <c r="F138" s="262">
        <v>-5.0869078643596133E-3</v>
      </c>
      <c r="G138" s="70">
        <v>388227</v>
      </c>
      <c r="H138" s="262">
        <v>1.7934538932894872E-2</v>
      </c>
      <c r="I138" s="70">
        <v>388227</v>
      </c>
      <c r="J138" s="262">
        <v>0</v>
      </c>
      <c r="K138" s="70">
        <v>446412</v>
      </c>
      <c r="L138" s="262">
        <v>0.14987365639175021</v>
      </c>
      <c r="M138" s="70">
        <v>445552</v>
      </c>
      <c r="N138" s="262">
        <v>-1.9264715106225294E-3</v>
      </c>
      <c r="O138" s="264">
        <v>460350</v>
      </c>
      <c r="P138" s="262">
        <v>3.3212733867203026E-2</v>
      </c>
      <c r="Q138" s="264">
        <v>473350</v>
      </c>
      <c r="R138" s="262">
        <v>2.8239383078092706E-2</v>
      </c>
      <c r="S138" s="264">
        <v>546350</v>
      </c>
      <c r="T138" s="262">
        <v>0.15421992183373834</v>
      </c>
      <c r="U138" s="262">
        <v>0.63989290495314588</v>
      </c>
      <c r="W138" s="328">
        <v>210622.71204188481</v>
      </c>
      <c r="X138" s="900">
        <v>242343</v>
      </c>
    </row>
    <row r="139" spans="1:25">
      <c r="A139" s="71"/>
      <c r="B139" s="329">
        <v>1171823</v>
      </c>
      <c r="C139" s="329">
        <v>1255045</v>
      </c>
      <c r="D139" s="330">
        <v>6.52604181841272E-2</v>
      </c>
      <c r="E139" s="331">
        <v>1220892</v>
      </c>
      <c r="F139" s="332">
        <v>-2.7212570067208786E-2</v>
      </c>
      <c r="G139" s="333">
        <v>1258500</v>
      </c>
      <c r="H139" s="332">
        <v>3.0803707453239015E-2</v>
      </c>
      <c r="I139" s="333">
        <v>1330568</v>
      </c>
      <c r="J139" s="332">
        <v>5.7264998013508039E-2</v>
      </c>
      <c r="K139" s="333">
        <v>1463919</v>
      </c>
      <c r="L139" s="332">
        <v>0.10022110857919331</v>
      </c>
      <c r="M139" s="333">
        <v>1349695</v>
      </c>
      <c r="N139" s="332">
        <v>-7.8026174945471705E-2</v>
      </c>
      <c r="O139" s="334">
        <v>1378285</v>
      </c>
      <c r="P139" s="332">
        <v>2.1182563468042703E-2</v>
      </c>
      <c r="Q139" s="334">
        <v>1479659</v>
      </c>
      <c r="R139" s="332">
        <v>7.3550825845162704E-2</v>
      </c>
      <c r="S139" s="334">
        <v>1621462</v>
      </c>
      <c r="T139" s="332">
        <v>0.17643448198304412</v>
      </c>
      <c r="U139" s="332">
        <v>0.15179084213230154</v>
      </c>
      <c r="W139" s="153">
        <v>882658.34715120203</v>
      </c>
      <c r="X139" s="901">
        <v>940261</v>
      </c>
    </row>
    <row r="140" spans="1:25">
      <c r="A140" s="71" t="s">
        <v>192</v>
      </c>
      <c r="B140" s="434">
        <v>51</v>
      </c>
      <c r="C140" s="434">
        <v>50</v>
      </c>
      <c r="D140" s="435"/>
      <c r="E140" s="165"/>
      <c r="F140" s="436"/>
      <c r="G140" s="88"/>
      <c r="H140" s="436"/>
      <c r="I140" s="88"/>
      <c r="J140" s="436"/>
      <c r="K140" s="88"/>
      <c r="L140" s="436"/>
      <c r="M140" s="88"/>
      <c r="N140" s="436"/>
      <c r="O140" s="436"/>
      <c r="Q140" s="436"/>
      <c r="S140" s="436"/>
      <c r="U140" s="85"/>
      <c r="V140" s="85"/>
    </row>
    <row r="141" spans="1:25">
      <c r="A141" s="71" t="s">
        <v>193</v>
      </c>
      <c r="B141" s="434">
        <v>22976.921568627451</v>
      </c>
      <c r="C141" s="434">
        <v>25100.9</v>
      </c>
      <c r="D141" s="435"/>
      <c r="E141" s="165"/>
      <c r="F141" s="436"/>
      <c r="G141" s="88"/>
      <c r="H141" s="436"/>
      <c r="I141" s="88"/>
      <c r="J141" s="436"/>
      <c r="K141" s="88"/>
      <c r="L141" s="436"/>
      <c r="M141" s="88"/>
      <c r="N141" s="436"/>
      <c r="O141" s="436"/>
      <c r="Q141" s="436"/>
      <c r="S141" s="436"/>
      <c r="U141" s="85"/>
      <c r="V141" s="85"/>
    </row>
    <row r="142" spans="1:25">
      <c r="A142" s="71" t="s">
        <v>194</v>
      </c>
      <c r="B142" s="434"/>
      <c r="C142" s="434">
        <v>4.6219821594216839</v>
      </c>
      <c r="D142" s="435"/>
      <c r="E142" s="434">
        <v>-1.4864045167230842</v>
      </c>
      <c r="F142" s="436"/>
      <c r="G142" s="85">
        <v>1.6367727890645583</v>
      </c>
      <c r="H142" s="436"/>
      <c r="I142" s="85">
        <v>3.1365385386700879</v>
      </c>
      <c r="J142" s="436"/>
      <c r="K142" s="85">
        <v>5.8036930492062382</v>
      </c>
      <c r="L142" s="436"/>
      <c r="M142" s="85">
        <v>-4.9712490708921067</v>
      </c>
      <c r="N142" s="436"/>
      <c r="O142" s="85">
        <v>1.2442920133842748</v>
      </c>
      <c r="Q142" s="85">
        <v>4.411992254802982</v>
      </c>
      <c r="S142" s="85">
        <v>6.1715404118198762</v>
      </c>
      <c r="U142" s="85">
        <v>20.56915762875451</v>
      </c>
      <c r="V142" s="85"/>
    </row>
    <row r="143" spans="1:25">
      <c r="A143" s="71"/>
      <c r="B143" s="71"/>
      <c r="C143" s="258"/>
      <c r="D143" s="258"/>
      <c r="E143" s="71"/>
    </row>
    <row r="144" spans="1:25">
      <c r="A144" s="1" t="s">
        <v>195</v>
      </c>
      <c r="B144" s="437">
        <v>2008</v>
      </c>
      <c r="C144" s="438">
        <v>2009</v>
      </c>
      <c r="D144" s="439">
        <v>2010</v>
      </c>
      <c r="E144" s="440">
        <v>2011</v>
      </c>
      <c r="F144" s="441">
        <v>2012</v>
      </c>
      <c r="G144" s="1"/>
      <c r="H144" s="1"/>
      <c r="I144" s="1"/>
      <c r="J144" s="1"/>
      <c r="K144" s="1"/>
      <c r="L144" s="1"/>
      <c r="M144" s="80"/>
      <c r="N144" s="80"/>
      <c r="O144" s="442"/>
      <c r="P144" s="80"/>
      <c r="Q144" s="442"/>
      <c r="R144" s="80"/>
      <c r="S144" s="442"/>
      <c r="T144" s="442"/>
      <c r="U144" s="1"/>
      <c r="V144" s="1"/>
      <c r="W144" s="1"/>
      <c r="X144" s="903"/>
      <c r="Y144" s="1"/>
    </row>
    <row r="145" spans="1:25">
      <c r="A145" s="149" t="s">
        <v>620</v>
      </c>
      <c r="B145" s="443"/>
      <c r="C145" s="444"/>
      <c r="D145" s="445"/>
      <c r="E145" s="392"/>
      <c r="F145" s="446"/>
      <c r="G145" s="149"/>
      <c r="H145" s="149"/>
      <c r="I145" s="149"/>
      <c r="J145" s="149"/>
      <c r="K145" s="149"/>
      <c r="L145" s="149"/>
      <c r="M145" s="392"/>
      <c r="N145" s="392"/>
      <c r="O145" s="447"/>
      <c r="P145" s="392"/>
      <c r="Q145" s="447"/>
      <c r="R145" s="392"/>
      <c r="S145" s="447"/>
      <c r="T145" s="447"/>
      <c r="U145" s="149"/>
      <c r="V145" s="149"/>
      <c r="W145" s="149"/>
      <c r="X145" s="903"/>
      <c r="Y145" s="149"/>
    </row>
    <row r="146" spans="1:25" ht="46.5">
      <c r="A146" s="448" t="s">
        <v>196</v>
      </c>
      <c r="B146" s="449"/>
      <c r="C146" s="450"/>
      <c r="D146" s="451"/>
      <c r="E146" s="452"/>
      <c r="F146" s="453"/>
      <c r="G146" s="384"/>
      <c r="H146" s="384"/>
      <c r="I146" s="384"/>
      <c r="J146" s="384"/>
      <c r="K146" s="384"/>
      <c r="L146" s="384"/>
      <c r="M146" s="452"/>
      <c r="N146" s="452"/>
      <c r="O146" s="314"/>
      <c r="P146" s="452"/>
      <c r="Q146" s="314"/>
      <c r="R146" s="452"/>
      <c r="S146" s="314"/>
      <c r="T146" s="314"/>
      <c r="U146" s="384"/>
      <c r="V146" s="384"/>
      <c r="W146" s="384"/>
      <c r="X146" s="904"/>
      <c r="Y146" s="384"/>
    </row>
    <row r="147" spans="1:25">
      <c r="A147" s="384" t="s">
        <v>197</v>
      </c>
      <c r="B147" s="449"/>
      <c r="C147" s="450"/>
      <c r="D147" s="451"/>
      <c r="E147" s="452"/>
      <c r="F147" s="453"/>
      <c r="G147" s="384"/>
      <c r="H147" s="384"/>
      <c r="I147" s="384"/>
      <c r="J147" s="384"/>
      <c r="K147" s="384"/>
      <c r="L147" s="384"/>
      <c r="M147" s="452"/>
      <c r="N147" s="452"/>
      <c r="O147" s="314"/>
      <c r="P147" s="452"/>
      <c r="Q147" s="314"/>
      <c r="R147" s="452"/>
      <c r="S147" s="314"/>
      <c r="T147" s="314"/>
      <c r="U147" s="384"/>
      <c r="V147" s="384"/>
      <c r="W147" s="384"/>
      <c r="X147" s="904"/>
      <c r="Y147" s="384"/>
    </row>
    <row r="148" spans="1:25">
      <c r="A148" s="384" t="s">
        <v>198</v>
      </c>
      <c r="B148" s="449"/>
      <c r="C148" s="450">
        <v>1864</v>
      </c>
      <c r="D148" s="451"/>
      <c r="E148" s="452"/>
      <c r="F148" s="453"/>
      <c r="G148" s="384"/>
      <c r="H148" s="384"/>
      <c r="I148" s="384"/>
      <c r="J148" s="384"/>
      <c r="K148" s="384"/>
      <c r="L148" s="384"/>
      <c r="M148" s="452"/>
      <c r="N148" s="452"/>
      <c r="O148" s="314"/>
      <c r="P148" s="452"/>
      <c r="Q148" s="314"/>
      <c r="R148" s="452"/>
      <c r="S148" s="314"/>
      <c r="T148" s="314"/>
      <c r="U148" s="384"/>
      <c r="V148" s="384"/>
      <c r="W148" s="384"/>
      <c r="X148" s="904"/>
      <c r="Y148" s="384"/>
    </row>
    <row r="149" spans="1:25">
      <c r="A149" s="384" t="s">
        <v>199</v>
      </c>
      <c r="B149" s="454"/>
      <c r="C149" s="455"/>
      <c r="D149" s="451"/>
      <c r="E149" s="452"/>
      <c r="F149" s="453"/>
      <c r="G149" s="456"/>
      <c r="H149" s="456"/>
      <c r="I149" s="456"/>
      <c r="J149" s="456"/>
      <c r="K149" s="456"/>
      <c r="L149" s="456"/>
      <c r="M149" s="457"/>
      <c r="N149" s="457"/>
      <c r="O149" s="458"/>
      <c r="P149" s="457"/>
      <c r="Q149" s="458"/>
      <c r="R149" s="457"/>
      <c r="S149" s="458"/>
      <c r="T149" s="458"/>
      <c r="U149" s="456"/>
      <c r="V149" s="456"/>
      <c r="W149" s="456"/>
      <c r="X149" s="905"/>
      <c r="Y149" s="456"/>
    </row>
    <row r="150" spans="1:25">
      <c r="A150" s="384" t="s">
        <v>200</v>
      </c>
      <c r="B150" s="449">
        <v>120</v>
      </c>
      <c r="C150" s="450"/>
      <c r="D150" s="451"/>
      <c r="E150" s="452"/>
      <c r="F150" s="453"/>
      <c r="G150" s="384"/>
      <c r="H150" s="384"/>
      <c r="I150" s="384"/>
      <c r="J150" s="384"/>
      <c r="K150" s="384"/>
      <c r="L150" s="384"/>
      <c r="M150" s="452"/>
      <c r="N150" s="452"/>
      <c r="O150" s="314"/>
      <c r="P150" s="452"/>
      <c r="Q150" s="314"/>
      <c r="R150" s="452"/>
      <c r="S150" s="314"/>
      <c r="T150" s="314"/>
      <c r="U150" s="384"/>
      <c r="V150" s="384"/>
      <c r="W150" s="384"/>
      <c r="X150" s="904"/>
      <c r="Y150" s="384"/>
    </row>
    <row r="151" spans="1:25">
      <c r="A151" s="384" t="s">
        <v>201</v>
      </c>
      <c r="B151" s="449"/>
      <c r="C151" s="450">
        <v>14000</v>
      </c>
      <c r="D151" s="451"/>
      <c r="E151" s="314"/>
      <c r="F151" s="321"/>
      <c r="G151" s="384"/>
      <c r="H151" s="384"/>
      <c r="I151" s="384"/>
      <c r="J151" s="384"/>
      <c r="K151" s="384"/>
      <c r="L151" s="384"/>
      <c r="M151" s="452"/>
      <c r="N151" s="452"/>
      <c r="O151" s="314"/>
      <c r="P151" s="452"/>
      <c r="Q151" s="314"/>
      <c r="R151" s="452"/>
      <c r="S151" s="314"/>
      <c r="T151" s="314"/>
      <c r="U151" s="384"/>
      <c r="V151" s="384"/>
      <c r="W151" s="384"/>
      <c r="X151" s="904"/>
      <c r="Y151" s="384"/>
    </row>
    <row r="152" spans="1:25">
      <c r="A152" s="456"/>
      <c r="B152" s="449"/>
      <c r="C152" s="450"/>
      <c r="D152" s="451"/>
      <c r="E152" s="457"/>
      <c r="F152" s="459"/>
      <c r="G152" s="456"/>
      <c r="H152" s="456"/>
      <c r="I152" s="456"/>
      <c r="J152" s="456"/>
      <c r="K152" s="456"/>
      <c r="L152" s="456"/>
      <c r="M152" s="457"/>
      <c r="N152" s="457"/>
      <c r="O152" s="458"/>
      <c r="P152" s="457"/>
      <c r="Q152" s="458"/>
      <c r="R152" s="457"/>
      <c r="S152" s="458"/>
      <c r="T152" s="458"/>
      <c r="U152" s="456"/>
      <c r="V152" s="456"/>
      <c r="W152" s="456"/>
      <c r="X152" s="905"/>
      <c r="Y152" s="456"/>
    </row>
    <row r="153" spans="1:25">
      <c r="A153" s="149"/>
      <c r="B153" s="460">
        <v>120</v>
      </c>
      <c r="C153" s="461">
        <v>15864</v>
      </c>
      <c r="D153" s="462">
        <v>0</v>
      </c>
      <c r="E153" s="463">
        <v>0</v>
      </c>
      <c r="F153" s="464">
        <v>0</v>
      </c>
      <c r="G153" s="149"/>
      <c r="H153" s="149"/>
      <c r="I153" s="149"/>
      <c r="J153" s="149"/>
      <c r="K153" s="149"/>
      <c r="L153" s="149"/>
      <c r="M153" s="392"/>
      <c r="N153" s="392"/>
      <c r="O153" s="447"/>
      <c r="P153" s="392"/>
      <c r="Q153" s="447"/>
      <c r="R153" s="392"/>
      <c r="S153" s="447"/>
      <c r="T153" s="447"/>
      <c r="U153" s="149"/>
      <c r="V153" s="149"/>
      <c r="W153" s="149"/>
      <c r="X153" s="903"/>
      <c r="Y153" s="149"/>
    </row>
    <row r="154" spans="1:25">
      <c r="A154" s="149" t="s">
        <v>621</v>
      </c>
      <c r="B154" s="443"/>
      <c r="C154" s="444"/>
      <c r="D154" s="445"/>
      <c r="E154" s="452"/>
      <c r="F154" s="453"/>
      <c r="G154" s="149"/>
      <c r="H154" s="149"/>
      <c r="I154" s="149"/>
      <c r="J154" s="149"/>
      <c r="K154" s="149"/>
      <c r="L154" s="149"/>
      <c r="M154" s="392"/>
      <c r="N154" s="392"/>
      <c r="O154" s="447"/>
      <c r="P154" s="392"/>
      <c r="Q154" s="447"/>
      <c r="R154" s="392"/>
      <c r="S154" s="447"/>
      <c r="T154" s="447"/>
      <c r="U154" s="149"/>
      <c r="V154" s="149"/>
      <c r="W154" s="149"/>
      <c r="X154" s="903"/>
      <c r="Y154" s="149"/>
    </row>
    <row r="155" spans="1:25">
      <c r="A155" s="384" t="s">
        <v>202</v>
      </c>
      <c r="B155" s="449">
        <v>-54079</v>
      </c>
      <c r="C155" s="450">
        <v>54079</v>
      </c>
      <c r="D155" s="451"/>
      <c r="E155" s="452"/>
      <c r="F155" s="453"/>
      <c r="G155" s="384"/>
      <c r="H155" s="384"/>
      <c r="I155" s="384"/>
      <c r="J155" s="384"/>
      <c r="K155" s="384"/>
      <c r="L155" s="384"/>
      <c r="M155" s="452"/>
      <c r="N155" s="452"/>
      <c r="O155" s="314"/>
      <c r="P155" s="452"/>
      <c r="Q155" s="314"/>
      <c r="R155" s="452"/>
      <c r="S155" s="314"/>
      <c r="T155" s="314"/>
      <c r="U155" s="384"/>
      <c r="V155" s="384"/>
      <c r="W155" s="384"/>
      <c r="X155" s="904"/>
      <c r="Y155" s="384"/>
    </row>
    <row r="156" spans="1:25">
      <c r="A156" s="384" t="s">
        <v>203</v>
      </c>
      <c r="B156" s="449">
        <v>-73588</v>
      </c>
      <c r="C156" s="450"/>
      <c r="D156" s="451"/>
      <c r="E156" s="452"/>
      <c r="F156" s="453"/>
      <c r="G156" s="384"/>
      <c r="H156" s="384"/>
      <c r="I156" s="384"/>
      <c r="J156" s="384"/>
      <c r="K156" s="384"/>
      <c r="L156" s="384"/>
      <c r="M156" s="452"/>
      <c r="N156" s="452"/>
      <c r="O156" s="314"/>
      <c r="P156" s="452"/>
      <c r="Q156" s="314"/>
      <c r="R156" s="452"/>
      <c r="S156" s="314"/>
      <c r="T156" s="314"/>
      <c r="U156" s="384"/>
      <c r="V156" s="384"/>
      <c r="W156" s="384"/>
      <c r="X156" s="904"/>
      <c r="Y156" s="384"/>
    </row>
    <row r="157" spans="1:25">
      <c r="A157" s="384" t="s">
        <v>84</v>
      </c>
      <c r="B157" s="449">
        <v>-42603</v>
      </c>
      <c r="C157" s="450"/>
      <c r="D157" s="451"/>
      <c r="E157" s="457"/>
      <c r="F157" s="459"/>
      <c r="G157" s="456"/>
      <c r="H157" s="456"/>
      <c r="I157" s="456"/>
      <c r="J157" s="456"/>
      <c r="K157" s="456"/>
      <c r="L157" s="456"/>
      <c r="M157" s="457"/>
      <c r="N157" s="457"/>
      <c r="O157" s="458"/>
      <c r="P157" s="457"/>
      <c r="Q157" s="458"/>
      <c r="R157" s="457"/>
      <c r="S157" s="458"/>
      <c r="T157" s="458"/>
      <c r="U157" s="456"/>
      <c r="V157" s="456"/>
      <c r="W157" s="456"/>
      <c r="X157" s="905"/>
      <c r="Y157" s="456"/>
    </row>
    <row r="158" spans="1:25">
      <c r="A158" s="384" t="s">
        <v>85</v>
      </c>
      <c r="B158" s="449"/>
      <c r="C158" s="450"/>
      <c r="D158" s="451"/>
      <c r="E158" s="457"/>
      <c r="F158" s="459"/>
      <c r="G158" s="456"/>
      <c r="H158" s="456"/>
      <c r="I158" s="456"/>
      <c r="J158" s="456"/>
      <c r="K158" s="456"/>
      <c r="L158" s="456"/>
      <c r="M158" s="457"/>
      <c r="N158" s="457"/>
      <c r="O158" s="458"/>
      <c r="P158" s="457"/>
      <c r="Q158" s="458"/>
      <c r="R158" s="457"/>
      <c r="S158" s="458"/>
      <c r="T158" s="458"/>
      <c r="U158" s="456"/>
      <c r="V158" s="456"/>
      <c r="W158" s="456"/>
      <c r="X158" s="905"/>
      <c r="Y158" s="456"/>
    </row>
    <row r="159" spans="1:25">
      <c r="A159" s="384" t="s">
        <v>86</v>
      </c>
      <c r="B159" s="449"/>
      <c r="C159" s="450"/>
      <c r="D159" s="451"/>
      <c r="E159" s="452"/>
      <c r="F159" s="453"/>
      <c r="G159" s="456"/>
      <c r="H159" s="456"/>
      <c r="I159" s="456"/>
      <c r="J159" s="456"/>
      <c r="K159" s="456"/>
      <c r="L159" s="456"/>
      <c r="M159" s="457"/>
      <c r="N159" s="457"/>
      <c r="O159" s="458"/>
      <c r="P159" s="457"/>
      <c r="Q159" s="458"/>
      <c r="R159" s="457"/>
      <c r="S159" s="458"/>
      <c r="T159" s="458"/>
      <c r="U159" s="456"/>
      <c r="V159" s="456"/>
      <c r="W159" s="456"/>
      <c r="X159" s="905"/>
      <c r="Y159" s="456"/>
    </row>
    <row r="160" spans="1:25">
      <c r="A160" s="384" t="s">
        <v>87</v>
      </c>
      <c r="B160" s="449">
        <v>960</v>
      </c>
      <c r="C160" s="450"/>
      <c r="D160" s="451"/>
      <c r="E160" s="457"/>
      <c r="F160" s="459"/>
      <c r="G160" s="456"/>
      <c r="H160" s="456"/>
      <c r="I160" s="456"/>
      <c r="J160" s="456"/>
      <c r="K160" s="456"/>
      <c r="L160" s="456"/>
      <c r="M160" s="457"/>
      <c r="N160" s="457"/>
      <c r="O160" s="458"/>
      <c r="P160" s="457"/>
      <c r="Q160" s="458"/>
      <c r="R160" s="457"/>
      <c r="S160" s="458"/>
      <c r="T160" s="458"/>
      <c r="U160" s="456"/>
      <c r="V160" s="456"/>
      <c r="W160" s="456"/>
      <c r="X160" s="905"/>
      <c r="Y160" s="456"/>
    </row>
    <row r="161" spans="1:25">
      <c r="A161" s="384" t="s">
        <v>88</v>
      </c>
      <c r="B161" s="449">
        <v>128</v>
      </c>
      <c r="C161" s="450"/>
      <c r="D161" s="451"/>
      <c r="E161" s="457"/>
      <c r="F161" s="459"/>
      <c r="G161" s="456"/>
      <c r="H161" s="456"/>
      <c r="I161" s="456"/>
      <c r="J161" s="456"/>
      <c r="K161" s="456"/>
      <c r="L161" s="456"/>
      <c r="M161" s="457"/>
      <c r="N161" s="457"/>
      <c r="O161" s="458"/>
      <c r="P161" s="457"/>
      <c r="Q161" s="458"/>
      <c r="R161" s="457"/>
      <c r="S161" s="458"/>
      <c r="T161" s="458"/>
      <c r="U161" s="456"/>
      <c r="V161" s="456"/>
      <c r="W161" s="456"/>
      <c r="X161" s="905"/>
      <c r="Y161" s="456"/>
    </row>
    <row r="162" spans="1:25">
      <c r="A162" s="384" t="s">
        <v>89</v>
      </c>
      <c r="B162" s="449">
        <v>684</v>
      </c>
      <c r="C162" s="450"/>
      <c r="D162" s="451"/>
      <c r="E162" s="457"/>
      <c r="F162" s="459"/>
      <c r="G162" s="456"/>
      <c r="H162" s="456"/>
      <c r="I162" s="456"/>
      <c r="J162" s="456"/>
      <c r="K162" s="456"/>
      <c r="L162" s="456"/>
      <c r="M162" s="457"/>
      <c r="N162" s="457"/>
      <c r="O162" s="458"/>
      <c r="P162" s="457"/>
      <c r="Q162" s="458"/>
      <c r="R162" s="457"/>
      <c r="S162" s="458"/>
      <c r="T162" s="458"/>
      <c r="U162" s="456"/>
      <c r="V162" s="456"/>
      <c r="W162" s="456"/>
      <c r="X162" s="905"/>
      <c r="Y162" s="456"/>
    </row>
    <row r="163" spans="1:25">
      <c r="A163" s="384" t="s">
        <v>90</v>
      </c>
      <c r="B163" s="449"/>
      <c r="C163" s="450"/>
      <c r="D163" s="451">
        <v>88374</v>
      </c>
      <c r="E163" s="452"/>
      <c r="F163" s="453"/>
      <c r="G163" s="456"/>
      <c r="H163" s="456"/>
      <c r="I163" s="456"/>
      <c r="J163" s="456"/>
      <c r="K163" s="456"/>
      <c r="L163" s="456"/>
      <c r="M163" s="457"/>
      <c r="N163" s="457"/>
      <c r="O163" s="458"/>
      <c r="P163" s="457"/>
      <c r="Q163" s="458"/>
      <c r="R163" s="457"/>
      <c r="S163" s="458"/>
      <c r="T163" s="458"/>
      <c r="U163" s="456"/>
      <c r="V163" s="456"/>
      <c r="W163" s="456"/>
      <c r="X163" s="905"/>
      <c r="Y163" s="456"/>
    </row>
    <row r="164" spans="1:25">
      <c r="A164" s="384" t="s">
        <v>91</v>
      </c>
      <c r="B164" s="449"/>
      <c r="C164" s="450"/>
      <c r="D164" s="451"/>
      <c r="E164" s="452">
        <v>140149</v>
      </c>
      <c r="F164" s="453"/>
      <c r="G164" s="456"/>
      <c r="H164" s="456"/>
      <c r="I164" s="456"/>
      <c r="J164" s="456"/>
      <c r="K164" s="456"/>
      <c r="L164" s="456"/>
      <c r="M164" s="457"/>
      <c r="N164" s="457"/>
      <c r="O164" s="458"/>
      <c r="P164" s="457"/>
      <c r="Q164" s="458"/>
      <c r="R164" s="457"/>
      <c r="S164" s="458"/>
      <c r="T164" s="458"/>
      <c r="U164" s="456"/>
      <c r="V164" s="456"/>
      <c r="W164" s="456"/>
      <c r="X164" s="905"/>
      <c r="Y164" s="456"/>
    </row>
    <row r="165" spans="1:25">
      <c r="A165" s="384" t="s">
        <v>92</v>
      </c>
      <c r="B165" s="449"/>
      <c r="C165" s="450"/>
      <c r="D165" s="451"/>
      <c r="E165" s="452">
        <v>-71346</v>
      </c>
      <c r="F165" s="453"/>
      <c r="G165" s="456"/>
      <c r="H165" s="456"/>
      <c r="I165" s="456"/>
      <c r="J165" s="456"/>
      <c r="K165" s="456"/>
      <c r="L165" s="456"/>
      <c r="M165" s="457"/>
      <c r="N165" s="457"/>
      <c r="O165" s="458"/>
      <c r="P165" s="457"/>
      <c r="Q165" s="458"/>
      <c r="R165" s="457"/>
      <c r="S165" s="458"/>
      <c r="T165" s="458"/>
      <c r="U165" s="456"/>
      <c r="V165" s="456"/>
      <c r="W165" s="456"/>
      <c r="X165" s="905"/>
      <c r="Y165" s="456"/>
    </row>
    <row r="166" spans="1:25">
      <c r="A166" s="384"/>
      <c r="B166" s="465"/>
      <c r="C166" s="466"/>
      <c r="D166" s="451"/>
      <c r="E166" s="452"/>
      <c r="F166" s="453"/>
      <c r="G166" s="384"/>
      <c r="H166" s="384"/>
      <c r="I166" s="384"/>
      <c r="J166" s="384"/>
      <c r="K166" s="384"/>
      <c r="L166" s="384"/>
      <c r="M166" s="452"/>
      <c r="N166" s="452"/>
      <c r="O166" s="314"/>
      <c r="P166" s="452"/>
      <c r="Q166" s="314"/>
      <c r="R166" s="452"/>
      <c r="S166" s="314"/>
      <c r="T166" s="314"/>
      <c r="U166" s="384"/>
      <c r="V166" s="384"/>
      <c r="W166" s="384"/>
      <c r="X166" s="904"/>
      <c r="Y166" s="384"/>
    </row>
    <row r="167" spans="1:25">
      <c r="A167" s="149"/>
      <c r="B167" s="443">
        <v>-168498</v>
      </c>
      <c r="C167" s="444">
        <v>54079</v>
      </c>
      <c r="D167" s="462">
        <v>88374</v>
      </c>
      <c r="E167" s="463">
        <v>68803</v>
      </c>
      <c r="F167" s="464">
        <v>0</v>
      </c>
      <c r="G167" s="149"/>
      <c r="H167" s="149"/>
      <c r="I167" s="149"/>
      <c r="J167" s="149"/>
      <c r="K167" s="149"/>
      <c r="L167" s="149"/>
      <c r="M167" s="392"/>
      <c r="N167" s="392"/>
      <c r="O167" s="447"/>
      <c r="P167" s="392"/>
      <c r="Q167" s="447"/>
      <c r="R167" s="392"/>
      <c r="S167" s="447"/>
      <c r="T167" s="447"/>
      <c r="U167" s="149"/>
      <c r="V167" s="149"/>
      <c r="W167" s="149"/>
      <c r="X167" s="903"/>
      <c r="Y167" s="149"/>
    </row>
    <row r="168" spans="1:25">
      <c r="A168" s="149" t="s">
        <v>619</v>
      </c>
      <c r="B168" s="443"/>
      <c r="C168" s="444"/>
      <c r="D168" s="445"/>
      <c r="E168" s="392"/>
      <c r="F168" s="446"/>
      <c r="G168" s="149"/>
      <c r="H168" s="149"/>
      <c r="I168" s="149"/>
      <c r="J168" s="149"/>
      <c r="K168" s="149"/>
      <c r="L168" s="149"/>
      <c r="M168" s="392"/>
      <c r="N168" s="392"/>
      <c r="O168" s="447"/>
      <c r="P168" s="392"/>
      <c r="Q168" s="447"/>
      <c r="R168" s="392"/>
      <c r="S168" s="447"/>
      <c r="T168" s="447"/>
      <c r="U168" s="149"/>
      <c r="V168" s="149"/>
      <c r="W168" s="149"/>
      <c r="X168" s="903"/>
      <c r="Y168" s="149"/>
    </row>
    <row r="169" spans="1:25">
      <c r="A169" s="448" t="s">
        <v>93</v>
      </c>
      <c r="B169" s="449"/>
      <c r="C169" s="450"/>
      <c r="D169" s="451"/>
      <c r="E169" s="453"/>
      <c r="F169" s="453"/>
      <c r="G169" s="456"/>
      <c r="H169" s="456"/>
      <c r="I169" s="456"/>
      <c r="J169" s="456"/>
      <c r="K169" s="456"/>
      <c r="L169" s="456"/>
      <c r="M169" s="457"/>
      <c r="N169" s="457"/>
      <c r="O169" s="458"/>
      <c r="P169" s="457"/>
      <c r="Q169" s="458"/>
      <c r="R169" s="457"/>
      <c r="S169" s="458"/>
      <c r="T169" s="458"/>
      <c r="U169" s="456"/>
      <c r="V169" s="456"/>
      <c r="W169" s="456"/>
      <c r="X169" s="905"/>
      <c r="Y169" s="456"/>
    </row>
    <row r="170" spans="1:25" ht="57.75">
      <c r="A170" s="448" t="s">
        <v>94</v>
      </c>
      <c r="B170" s="449"/>
      <c r="C170" s="450"/>
      <c r="D170" s="451"/>
      <c r="E170" s="452"/>
      <c r="F170" s="453"/>
      <c r="G170" s="456"/>
      <c r="H170" s="456"/>
      <c r="I170" s="456"/>
      <c r="J170" s="456"/>
      <c r="K170" s="456"/>
      <c r="L170" s="456"/>
      <c r="M170" s="457"/>
      <c r="N170" s="457"/>
      <c r="O170" s="458"/>
      <c r="P170" s="457"/>
      <c r="Q170" s="458"/>
      <c r="R170" s="457"/>
      <c r="S170" s="458"/>
      <c r="T170" s="458"/>
      <c r="U170" s="456"/>
      <c r="V170" s="456"/>
      <c r="W170" s="456"/>
      <c r="X170" s="905"/>
      <c r="Y170" s="456"/>
    </row>
    <row r="171" spans="1:25">
      <c r="A171" s="384" t="s">
        <v>95</v>
      </c>
      <c r="B171" s="449"/>
      <c r="C171" s="450">
        <v>39023</v>
      </c>
      <c r="D171" s="451"/>
      <c r="E171" s="452"/>
      <c r="F171" s="453"/>
      <c r="G171" s="384"/>
      <c r="H171" s="384"/>
      <c r="I171" s="384"/>
      <c r="J171" s="384"/>
      <c r="K171" s="384"/>
      <c r="L171" s="384"/>
      <c r="M171" s="452"/>
      <c r="N171" s="452"/>
      <c r="O171" s="314"/>
      <c r="P171" s="452"/>
      <c r="Q171" s="314"/>
      <c r="R171" s="452"/>
      <c r="S171" s="314"/>
      <c r="T171" s="314"/>
      <c r="U171" s="384"/>
      <c r="V171" s="384"/>
      <c r="W171" s="384"/>
      <c r="X171" s="904"/>
      <c r="Y171" s="384"/>
    </row>
    <row r="172" spans="1:25">
      <c r="A172" s="384" t="s">
        <v>201</v>
      </c>
      <c r="B172" s="467"/>
      <c r="C172" s="449">
        <v>14451</v>
      </c>
      <c r="D172" s="451"/>
      <c r="E172" s="314"/>
      <c r="F172" s="321"/>
      <c r="G172" s="384"/>
      <c r="H172" s="384"/>
      <c r="I172" s="384"/>
      <c r="J172" s="384"/>
      <c r="K172" s="384"/>
      <c r="L172" s="384"/>
      <c r="M172" s="452"/>
      <c r="N172" s="452"/>
      <c r="O172" s="314"/>
      <c r="P172" s="452"/>
      <c r="Q172" s="314"/>
      <c r="R172" s="452"/>
      <c r="S172" s="314"/>
      <c r="T172" s="314"/>
      <c r="U172" s="384"/>
      <c r="V172" s="384"/>
      <c r="W172" s="384"/>
      <c r="X172" s="904"/>
      <c r="Y172" s="384"/>
    </row>
    <row r="173" spans="1:25">
      <c r="A173" s="384" t="s">
        <v>96</v>
      </c>
      <c r="B173" s="449"/>
      <c r="C173" s="450"/>
      <c r="D173" s="451"/>
      <c r="E173" s="452">
        <v>73000</v>
      </c>
      <c r="F173" s="453"/>
      <c r="G173" s="384"/>
      <c r="H173" s="384"/>
      <c r="I173" s="384"/>
      <c r="J173" s="384"/>
      <c r="K173" s="384"/>
      <c r="L173" s="384"/>
      <c r="M173" s="452"/>
      <c r="N173" s="452"/>
      <c r="O173" s="314"/>
      <c r="P173" s="452"/>
      <c r="Q173" s="314"/>
      <c r="R173" s="452"/>
      <c r="S173" s="314"/>
      <c r="T173" s="314"/>
      <c r="U173" s="384"/>
      <c r="V173" s="384"/>
      <c r="W173" s="384"/>
      <c r="X173" s="904"/>
      <c r="Y173" s="384"/>
    </row>
    <row r="174" spans="1:25">
      <c r="A174" s="384" t="s">
        <v>97</v>
      </c>
      <c r="B174" s="449"/>
      <c r="C174" s="450"/>
      <c r="D174" s="451">
        <v>13000</v>
      </c>
      <c r="E174" s="452"/>
      <c r="F174" s="453"/>
      <c r="G174" s="384"/>
      <c r="H174" s="384"/>
      <c r="I174" s="384"/>
      <c r="J174" s="384"/>
      <c r="K174" s="384"/>
      <c r="L174" s="384"/>
      <c r="M174" s="452"/>
      <c r="N174" s="452"/>
      <c r="O174" s="314"/>
      <c r="P174" s="452"/>
      <c r="Q174" s="314"/>
      <c r="R174" s="452"/>
      <c r="S174" s="314"/>
      <c r="T174" s="314"/>
      <c r="U174" s="384"/>
      <c r="V174" s="384"/>
      <c r="W174" s="384"/>
      <c r="X174" s="904"/>
      <c r="Y174" s="384"/>
    </row>
    <row r="175" spans="1:25">
      <c r="A175" s="384" t="s">
        <v>98</v>
      </c>
      <c r="B175" s="449">
        <v>-2856</v>
      </c>
      <c r="C175" s="450"/>
      <c r="D175" s="451"/>
      <c r="E175" s="314"/>
      <c r="F175" s="321"/>
      <c r="G175" s="384"/>
      <c r="H175" s="384"/>
      <c r="I175" s="384"/>
      <c r="J175" s="384"/>
      <c r="K175" s="384"/>
      <c r="L175" s="384"/>
      <c r="M175" s="452"/>
      <c r="N175" s="452"/>
      <c r="O175" s="314"/>
      <c r="P175" s="452"/>
      <c r="Q175" s="314"/>
      <c r="R175" s="452"/>
      <c r="S175" s="314"/>
      <c r="T175" s="314"/>
      <c r="U175" s="384"/>
      <c r="V175" s="384"/>
      <c r="W175" s="384"/>
      <c r="X175" s="904"/>
      <c r="Y175" s="384"/>
    </row>
    <row r="176" spans="1:25">
      <c r="A176" s="384" t="s">
        <v>99</v>
      </c>
      <c r="B176" s="449"/>
      <c r="C176" s="450"/>
      <c r="D176" s="451"/>
      <c r="E176" s="453"/>
      <c r="F176" s="453"/>
      <c r="G176" s="384"/>
      <c r="H176" s="384"/>
      <c r="I176" s="384"/>
      <c r="J176" s="384"/>
      <c r="K176" s="384"/>
      <c r="L176" s="384"/>
      <c r="M176" s="452"/>
      <c r="N176" s="452"/>
      <c r="O176" s="314"/>
      <c r="P176" s="452"/>
      <c r="Q176" s="314"/>
      <c r="R176" s="452"/>
      <c r="S176" s="314"/>
      <c r="T176" s="314"/>
      <c r="U176" s="384"/>
      <c r="V176" s="384"/>
      <c r="W176" s="384"/>
      <c r="X176" s="904"/>
      <c r="Y176" s="384"/>
    </row>
    <row r="177" spans="1:25">
      <c r="A177" s="384"/>
      <c r="B177" s="449"/>
      <c r="C177" s="450"/>
      <c r="D177" s="451"/>
      <c r="E177" s="457"/>
      <c r="F177" s="459"/>
      <c r="G177" s="456"/>
      <c r="H177" s="456"/>
      <c r="I177" s="456"/>
      <c r="J177" s="456"/>
      <c r="K177" s="456"/>
      <c r="L177" s="456"/>
      <c r="M177" s="457"/>
      <c r="N177" s="457"/>
      <c r="O177" s="458"/>
      <c r="P177" s="457"/>
      <c r="Q177" s="458"/>
      <c r="R177" s="457"/>
      <c r="S177" s="458"/>
      <c r="T177" s="458"/>
      <c r="U177" s="456"/>
      <c r="V177" s="456"/>
      <c r="W177" s="456"/>
      <c r="X177" s="905"/>
      <c r="Y177" s="456"/>
    </row>
    <row r="178" spans="1:25">
      <c r="A178" s="384"/>
      <c r="B178" s="468">
        <v>-2856</v>
      </c>
      <c r="C178" s="469">
        <v>53474</v>
      </c>
      <c r="D178" s="470">
        <v>13000</v>
      </c>
      <c r="E178" s="471">
        <v>73000</v>
      </c>
      <c r="F178" s="472">
        <v>0</v>
      </c>
      <c r="G178" s="384"/>
      <c r="H178" s="384"/>
      <c r="I178" s="384"/>
      <c r="J178" s="384"/>
      <c r="K178" s="384"/>
      <c r="L178" s="384"/>
      <c r="M178" s="452"/>
      <c r="N178" s="452"/>
      <c r="O178" s="314"/>
      <c r="P178" s="452"/>
      <c r="Q178" s="314"/>
      <c r="R178" s="452"/>
      <c r="S178" s="314"/>
      <c r="T178" s="314"/>
      <c r="U178" s="384"/>
      <c r="V178" s="384"/>
      <c r="W178" s="384"/>
      <c r="X178" s="904"/>
      <c r="Y178" s="384"/>
    </row>
    <row r="179" spans="1:25">
      <c r="A179" s="384"/>
      <c r="B179" s="449"/>
      <c r="C179" s="450"/>
      <c r="D179" s="451"/>
      <c r="E179" s="452"/>
      <c r="F179" s="453"/>
      <c r="G179" s="384"/>
      <c r="H179" s="384"/>
      <c r="I179" s="384"/>
      <c r="J179" s="384"/>
      <c r="K179" s="384"/>
      <c r="L179" s="384"/>
      <c r="M179" s="452"/>
      <c r="N179" s="452"/>
      <c r="O179" s="314"/>
      <c r="P179" s="452"/>
      <c r="Q179" s="314"/>
      <c r="R179" s="452"/>
      <c r="S179" s="314"/>
      <c r="T179" s="314"/>
      <c r="U179" s="384"/>
      <c r="V179" s="384"/>
      <c r="W179" s="384"/>
      <c r="X179" s="904"/>
      <c r="Y179" s="384"/>
    </row>
    <row r="180" spans="1:25">
      <c r="A180" s="149" t="s">
        <v>625</v>
      </c>
      <c r="B180" s="443">
        <v>-171234</v>
      </c>
      <c r="C180" s="444">
        <v>123417</v>
      </c>
      <c r="D180" s="445">
        <v>101374</v>
      </c>
      <c r="E180" s="392">
        <v>141803</v>
      </c>
      <c r="F180" s="446">
        <v>0</v>
      </c>
      <c r="G180" s="149"/>
      <c r="H180" s="149"/>
      <c r="I180" s="149"/>
      <c r="J180" s="149"/>
      <c r="K180" s="149"/>
      <c r="L180" s="149"/>
      <c r="M180" s="392"/>
      <c r="N180" s="392"/>
      <c r="O180" s="473"/>
      <c r="P180" s="392"/>
      <c r="Q180" s="473"/>
      <c r="R180" s="392"/>
      <c r="S180" s="473"/>
      <c r="T180" s="447"/>
      <c r="U180" s="149"/>
      <c r="V180" s="149"/>
      <c r="W180" s="149"/>
      <c r="X180" s="903"/>
      <c r="Y180" s="149"/>
    </row>
    <row r="181" spans="1:25">
      <c r="A181" s="384"/>
      <c r="B181" s="368"/>
      <c r="C181" s="368"/>
      <c r="D181" s="368"/>
      <c r="E181" s="368"/>
      <c r="F181" s="368"/>
      <c r="G181" s="368"/>
      <c r="H181" s="368"/>
      <c r="I181" s="368"/>
      <c r="J181" s="368"/>
      <c r="K181" s="368"/>
      <c r="L181" s="384"/>
      <c r="M181" s="368"/>
      <c r="N181" s="368"/>
      <c r="O181" s="384"/>
      <c r="P181" s="384"/>
      <c r="Q181" s="384"/>
      <c r="R181" s="384"/>
      <c r="S181" s="384"/>
      <c r="T181" s="384"/>
      <c r="U181" s="384"/>
      <c r="V181" s="384"/>
      <c r="W181" s="314"/>
      <c r="X181" s="906"/>
      <c r="Y181" s="314"/>
    </row>
    <row r="182" spans="1:25">
      <c r="A182" s="384"/>
      <c r="B182" s="368"/>
      <c r="C182" s="368"/>
      <c r="D182" s="368"/>
      <c r="E182" s="368"/>
      <c r="F182" s="474"/>
      <c r="G182" s="474"/>
      <c r="H182" s="474"/>
      <c r="I182" s="474"/>
      <c r="J182" s="475"/>
      <c r="K182" s="475"/>
      <c r="L182" s="475"/>
      <c r="M182" s="475"/>
      <c r="N182" s="475"/>
      <c r="O182" s="475"/>
      <c r="P182" s="475"/>
      <c r="Q182" s="475"/>
      <c r="R182" s="475"/>
      <c r="S182" s="475"/>
      <c r="T182" s="475"/>
      <c r="U182" s="475"/>
      <c r="V182" s="475"/>
      <c r="W182" s="475"/>
      <c r="Y182" s="475"/>
    </row>
    <row r="183" spans="1:25">
      <c r="A183" s="71" t="s">
        <v>100</v>
      </c>
      <c r="B183" s="130"/>
      <c r="C183" s="130"/>
      <c r="D183" s="130"/>
      <c r="E183" s="130"/>
      <c r="F183" s="328"/>
      <c r="G183" s="328"/>
      <c r="H183" s="328"/>
      <c r="I183" s="328"/>
    </row>
    <row r="184" spans="1:25">
      <c r="A184" s="71" t="s">
        <v>101</v>
      </c>
      <c r="B184" s="130"/>
      <c r="C184" s="130"/>
      <c r="D184" s="130"/>
      <c r="E184" s="130"/>
      <c r="F184" s="328"/>
      <c r="G184" s="328"/>
      <c r="H184" s="328"/>
      <c r="I184" s="328"/>
    </row>
    <row r="185" spans="1:25">
      <c r="A185" s="71"/>
      <c r="B185" s="130"/>
      <c r="C185" s="130"/>
      <c r="D185" s="130"/>
      <c r="E185" s="130"/>
      <c r="F185" s="328"/>
      <c r="G185" s="328"/>
      <c r="H185" s="328"/>
      <c r="I185" s="328"/>
    </row>
    <row r="186" spans="1:25">
      <c r="A186" s="71" t="s">
        <v>102</v>
      </c>
      <c r="B186" s="130"/>
      <c r="C186" s="130"/>
      <c r="D186" s="130"/>
      <c r="E186" s="130"/>
      <c r="F186" s="328"/>
      <c r="G186" s="328"/>
      <c r="H186" s="328"/>
      <c r="I186" s="328"/>
    </row>
    <row r="187" spans="1:25">
      <c r="A187" s="71"/>
      <c r="B187" s="71"/>
      <c r="C187" s="258"/>
      <c r="D187" s="258"/>
      <c r="E187" s="71"/>
    </row>
    <row r="188" spans="1:25">
      <c r="A188" s="71">
        <v>3</v>
      </c>
      <c r="B188" s="71" t="s">
        <v>103</v>
      </c>
      <c r="C188" s="258"/>
      <c r="D188" s="130">
        <v>3</v>
      </c>
      <c r="E188" s="71"/>
    </row>
    <row r="189" spans="1:25">
      <c r="A189" s="71">
        <v>3</v>
      </c>
      <c r="B189" s="71" t="s">
        <v>104</v>
      </c>
      <c r="C189" s="258"/>
      <c r="D189" s="130">
        <v>3</v>
      </c>
      <c r="E189" s="71"/>
    </row>
    <row r="190" spans="1:25">
      <c r="A190" s="71">
        <v>13</v>
      </c>
      <c r="B190" s="71" t="s">
        <v>105</v>
      </c>
      <c r="C190" s="258"/>
      <c r="D190" s="130">
        <v>12</v>
      </c>
      <c r="E190" s="71"/>
    </row>
    <row r="191" spans="1:25">
      <c r="A191" s="71">
        <v>7</v>
      </c>
      <c r="B191" s="71" t="s">
        <v>106</v>
      </c>
      <c r="C191" s="258"/>
      <c r="D191" s="130">
        <v>13</v>
      </c>
      <c r="E191" s="71"/>
    </row>
    <row r="192" spans="1:25">
      <c r="A192" s="71">
        <v>38</v>
      </c>
      <c r="B192" s="71" t="s">
        <v>107</v>
      </c>
      <c r="C192" s="258"/>
      <c r="D192" s="130">
        <v>36</v>
      </c>
      <c r="E192" s="71"/>
    </row>
    <row r="193" spans="1:24">
      <c r="A193" s="71">
        <v>1</v>
      </c>
      <c r="B193" s="71" t="s">
        <v>108</v>
      </c>
      <c r="C193" s="258"/>
      <c r="D193" s="130">
        <v>3</v>
      </c>
      <c r="E193" s="71"/>
    </row>
    <row r="194" spans="1:24">
      <c r="A194" s="71"/>
      <c r="B194" s="71"/>
      <c r="C194" s="258"/>
      <c r="D194" s="258"/>
      <c r="E194" s="71"/>
    </row>
    <row r="195" spans="1:24">
      <c r="A195" s="71" t="s">
        <v>109</v>
      </c>
      <c r="B195" s="71"/>
      <c r="C195" s="258"/>
      <c r="D195" s="258"/>
      <c r="E195" s="71"/>
    </row>
    <row r="196" spans="1:24">
      <c r="A196" s="71"/>
      <c r="B196" s="71"/>
      <c r="C196" s="258"/>
      <c r="D196" s="258"/>
      <c r="E196" s="71"/>
    </row>
    <row r="197" spans="1:24">
      <c r="A197" s="71" t="s">
        <v>110</v>
      </c>
      <c r="B197" s="71"/>
      <c r="C197" s="258"/>
      <c r="D197" s="258"/>
      <c r="E197" s="71"/>
    </row>
    <row r="199" spans="1:24">
      <c r="A199" s="1" t="s">
        <v>685</v>
      </c>
      <c r="B199" s="540"/>
      <c r="C199" s="543"/>
      <c r="D199" s="543"/>
      <c r="E199" s="540"/>
    </row>
    <row r="200" spans="1:24">
      <c r="A200" s="540"/>
      <c r="B200" s="544">
        <v>2000</v>
      </c>
      <c r="C200" s="544">
        <v>2003</v>
      </c>
      <c r="D200" s="544" t="s">
        <v>349</v>
      </c>
      <c r="E200" s="544">
        <v>2004</v>
      </c>
      <c r="F200" s="323" t="s">
        <v>349</v>
      </c>
      <c r="G200" s="323">
        <v>2005</v>
      </c>
      <c r="H200" s="323" t="s">
        <v>349</v>
      </c>
      <c r="I200" s="323">
        <v>2006</v>
      </c>
      <c r="J200" s="323" t="s">
        <v>349</v>
      </c>
      <c r="K200" s="323">
        <v>2007</v>
      </c>
      <c r="L200" s="323" t="s">
        <v>349</v>
      </c>
      <c r="M200" s="323">
        <v>2008</v>
      </c>
      <c r="N200" s="323" t="s">
        <v>349</v>
      </c>
      <c r="O200" s="323">
        <v>2009</v>
      </c>
      <c r="P200" s="323" t="s">
        <v>350</v>
      </c>
      <c r="Q200" s="323">
        <v>2010</v>
      </c>
      <c r="R200" s="323" t="s">
        <v>350</v>
      </c>
      <c r="S200" s="323">
        <v>2011</v>
      </c>
      <c r="T200" s="323" t="s">
        <v>350</v>
      </c>
      <c r="U200" s="544" t="s">
        <v>351</v>
      </c>
      <c r="W200" s="323">
        <v>2000</v>
      </c>
      <c r="X200" s="898">
        <v>2003</v>
      </c>
    </row>
    <row r="201" spans="1:24">
      <c r="A201" s="540"/>
      <c r="B201" s="545" t="s">
        <v>595</v>
      </c>
      <c r="C201" s="546" t="s">
        <v>595</v>
      </c>
      <c r="D201" s="547" t="s">
        <v>352</v>
      </c>
      <c r="E201" s="547" t="s">
        <v>595</v>
      </c>
      <c r="F201" s="547" t="s">
        <v>352</v>
      </c>
      <c r="G201" s="547" t="s">
        <v>595</v>
      </c>
      <c r="H201" s="547" t="s">
        <v>352</v>
      </c>
      <c r="I201" s="547" t="s">
        <v>595</v>
      </c>
      <c r="J201" s="547" t="s">
        <v>352</v>
      </c>
      <c r="K201" s="547" t="s">
        <v>595</v>
      </c>
      <c r="L201" s="547" t="s">
        <v>352</v>
      </c>
      <c r="M201" s="547" t="s">
        <v>595</v>
      </c>
      <c r="N201" s="547" t="s">
        <v>352</v>
      </c>
      <c r="O201" s="547" t="s">
        <v>595</v>
      </c>
      <c r="P201" s="547" t="s">
        <v>352</v>
      </c>
      <c r="Q201" s="547" t="s">
        <v>595</v>
      </c>
      <c r="R201" s="547" t="s">
        <v>352</v>
      </c>
      <c r="S201" s="547" t="s">
        <v>595</v>
      </c>
      <c r="T201" s="547" t="s">
        <v>352</v>
      </c>
      <c r="U201" s="547" t="s">
        <v>352</v>
      </c>
      <c r="W201" s="546" t="s">
        <v>253</v>
      </c>
      <c r="X201" s="907" t="s">
        <v>253</v>
      </c>
    </row>
    <row r="202" spans="1:24">
      <c r="A202" s="540" t="s">
        <v>620</v>
      </c>
      <c r="B202" s="548">
        <v>246431</v>
      </c>
      <c r="C202" s="548">
        <v>265641</v>
      </c>
      <c r="D202" s="549">
        <v>7.7952854957371587E-2</v>
      </c>
      <c r="E202" s="550">
        <v>261866</v>
      </c>
      <c r="F202" s="549">
        <v>-1.4210908707616654E-2</v>
      </c>
      <c r="G202" s="70">
        <v>262506</v>
      </c>
      <c r="H202" s="549">
        <v>2.4439980753514501E-3</v>
      </c>
      <c r="I202" s="70">
        <v>262506</v>
      </c>
      <c r="J202" s="549">
        <v>0</v>
      </c>
      <c r="K202" s="70">
        <v>338423</v>
      </c>
      <c r="L202" s="549">
        <v>0.28920100873884791</v>
      </c>
      <c r="M202" s="70">
        <v>338423</v>
      </c>
      <c r="N202" s="551">
        <v>0</v>
      </c>
      <c r="O202" s="552">
        <v>352215</v>
      </c>
      <c r="P202" s="549">
        <v>4.0753731277129557E-2</v>
      </c>
      <c r="Q202" s="552">
        <v>352215</v>
      </c>
      <c r="R202" s="549">
        <v>0</v>
      </c>
      <c r="S202" s="552">
        <v>352215</v>
      </c>
      <c r="T202" s="549">
        <v>0</v>
      </c>
      <c r="U202" s="549">
        <v>0.42926417536754702</v>
      </c>
      <c r="W202" s="548">
        <v>186499.80755229801</v>
      </c>
      <c r="X202" s="908">
        <v>201038</v>
      </c>
    </row>
    <row r="203" spans="1:24">
      <c r="A203" s="540" t="s">
        <v>353</v>
      </c>
      <c r="B203" s="548">
        <v>592230</v>
      </c>
      <c r="C203" s="548">
        <v>606067</v>
      </c>
      <c r="D203" s="549">
        <v>2.3364233490366981E-2</v>
      </c>
      <c r="E203" s="550">
        <v>577639</v>
      </c>
      <c r="F203" s="549">
        <v>-4.6905705144810739E-2</v>
      </c>
      <c r="G203" s="70">
        <v>607767</v>
      </c>
      <c r="H203" s="549">
        <v>5.215714312918629E-2</v>
      </c>
      <c r="I203" s="70">
        <v>679835</v>
      </c>
      <c r="J203" s="549">
        <v>0.11857833676392437</v>
      </c>
      <c r="K203" s="70">
        <v>679084</v>
      </c>
      <c r="L203" s="549">
        <v>-1.1046798120132317E-3</v>
      </c>
      <c r="M203" s="70">
        <v>565720</v>
      </c>
      <c r="N203" s="549">
        <v>-0.16693663817730942</v>
      </c>
      <c r="O203" s="552">
        <v>565720</v>
      </c>
      <c r="P203" s="549">
        <v>0</v>
      </c>
      <c r="Q203" s="552">
        <v>608124</v>
      </c>
      <c r="R203" s="549">
        <v>7.495580852718664E-2</v>
      </c>
      <c r="S203" s="552">
        <v>703104</v>
      </c>
      <c r="T203" s="549">
        <v>0.15618525169208919</v>
      </c>
      <c r="U203" s="549">
        <v>0.18721442682741496</v>
      </c>
      <c r="W203" s="548">
        <v>485535.82755701925</v>
      </c>
      <c r="X203" s="908">
        <v>496880</v>
      </c>
    </row>
    <row r="204" spans="1:24">
      <c r="A204" s="540" t="s">
        <v>619</v>
      </c>
      <c r="B204" s="548">
        <v>333162</v>
      </c>
      <c r="C204" s="548">
        <v>383337</v>
      </c>
      <c r="D204" s="549">
        <v>0.15060240963855431</v>
      </c>
      <c r="E204" s="550">
        <v>381387</v>
      </c>
      <c r="F204" s="549">
        <v>-5.0869078643596133E-3</v>
      </c>
      <c r="G204" s="70">
        <v>388227</v>
      </c>
      <c r="H204" s="549">
        <v>1.7934538932894872E-2</v>
      </c>
      <c r="I204" s="70">
        <v>388227</v>
      </c>
      <c r="J204" s="549">
        <v>0</v>
      </c>
      <c r="K204" s="70">
        <v>446412</v>
      </c>
      <c r="L204" s="549">
        <v>0.14987365639175021</v>
      </c>
      <c r="M204" s="70">
        <v>445552</v>
      </c>
      <c r="N204" s="549">
        <v>-1.9264715106225294E-3</v>
      </c>
      <c r="O204" s="552">
        <v>460350</v>
      </c>
      <c r="P204" s="549">
        <v>3.3212733867203026E-2</v>
      </c>
      <c r="Q204" s="552">
        <v>467096</v>
      </c>
      <c r="R204" s="549">
        <v>1.465406755729326E-2</v>
      </c>
      <c r="S204" s="552">
        <v>540096</v>
      </c>
      <c r="T204" s="549">
        <v>0.15628478942230295</v>
      </c>
      <c r="U204" s="549">
        <v>0.62112125632575133</v>
      </c>
      <c r="W204" s="548">
        <v>210622.71204188481</v>
      </c>
      <c r="X204" s="908">
        <v>242343</v>
      </c>
    </row>
    <row r="205" spans="1:24">
      <c r="A205" s="540"/>
      <c r="B205" s="553">
        <v>1171823</v>
      </c>
      <c r="C205" s="553">
        <v>1255045</v>
      </c>
      <c r="D205" s="554">
        <v>6.52604181841272E-2</v>
      </c>
      <c r="E205" s="555">
        <v>1220892</v>
      </c>
      <c r="F205" s="554">
        <v>-2.7212570067208786E-2</v>
      </c>
      <c r="G205" s="333">
        <v>1258500</v>
      </c>
      <c r="H205" s="554">
        <v>3.0803707453239015E-2</v>
      </c>
      <c r="I205" s="333">
        <v>1330568</v>
      </c>
      <c r="J205" s="554">
        <v>5.7264998013508039E-2</v>
      </c>
      <c r="K205" s="333">
        <v>1463919</v>
      </c>
      <c r="L205" s="554">
        <v>0.10022110857919331</v>
      </c>
      <c r="M205" s="333">
        <v>1349695</v>
      </c>
      <c r="N205" s="554">
        <v>-7.8026174945471705E-2</v>
      </c>
      <c r="O205" s="556">
        <v>1378285</v>
      </c>
      <c r="P205" s="554">
        <v>2.1182563468042703E-2</v>
      </c>
      <c r="Q205" s="556">
        <v>1427435</v>
      </c>
      <c r="R205" s="554">
        <v>3.5660258944993251E-2</v>
      </c>
      <c r="S205" s="556">
        <v>1595415</v>
      </c>
      <c r="T205" s="554">
        <v>0.15753635859056736</v>
      </c>
      <c r="U205" s="554">
        <v>0.15179084213230154</v>
      </c>
      <c r="W205" s="553">
        <v>882658.34715120203</v>
      </c>
      <c r="X205" s="909">
        <v>940261</v>
      </c>
    </row>
    <row r="206" spans="1:24">
      <c r="A206" s="540"/>
      <c r="B206" s="540"/>
      <c r="C206" s="543"/>
      <c r="D206" s="543"/>
      <c r="E206" s="540"/>
    </row>
    <row r="207" spans="1:24">
      <c r="A207" s="1" t="s">
        <v>195</v>
      </c>
      <c r="B207" s="437">
        <v>2008</v>
      </c>
      <c r="C207" s="438">
        <v>2009</v>
      </c>
      <c r="D207" s="439">
        <v>2010</v>
      </c>
      <c r="E207" s="440">
        <v>2011</v>
      </c>
      <c r="F207" s="441">
        <v>2012</v>
      </c>
      <c r="G207" s="1"/>
      <c r="H207" s="1"/>
      <c r="I207" s="1"/>
      <c r="J207" s="1"/>
      <c r="K207" s="1"/>
      <c r="L207" s="1"/>
      <c r="M207" s="80"/>
      <c r="N207" s="80"/>
      <c r="O207" s="442"/>
      <c r="P207" s="80"/>
      <c r="Q207" s="442"/>
      <c r="R207" s="80"/>
      <c r="S207" s="442"/>
      <c r="T207" s="442"/>
      <c r="U207" s="1"/>
      <c r="V207" s="1"/>
      <c r="W207" s="1"/>
      <c r="X207" s="903"/>
    </row>
    <row r="208" spans="1:24">
      <c r="A208" s="149" t="s">
        <v>620</v>
      </c>
      <c r="B208" s="443"/>
      <c r="C208" s="444"/>
      <c r="D208" s="445"/>
      <c r="E208" s="392"/>
      <c r="F208" s="446"/>
      <c r="G208" s="149"/>
      <c r="H208" s="149"/>
      <c r="I208" s="149"/>
      <c r="J208" s="149"/>
      <c r="K208" s="149"/>
      <c r="L208" s="149"/>
      <c r="M208" s="392"/>
      <c r="N208" s="392"/>
      <c r="O208" s="447"/>
      <c r="P208" s="392"/>
      <c r="Q208" s="447"/>
      <c r="R208" s="392"/>
      <c r="S208" s="447"/>
      <c r="T208" s="447"/>
      <c r="U208" s="149"/>
      <c r="V208" s="149"/>
      <c r="W208" s="149"/>
      <c r="X208" s="903"/>
    </row>
    <row r="209" spans="1:24" ht="46.5">
      <c r="A209" s="557" t="s">
        <v>196</v>
      </c>
      <c r="B209" s="449"/>
      <c r="C209" s="450"/>
      <c r="D209" s="558"/>
      <c r="E209" s="559"/>
      <c r="F209" s="560"/>
      <c r="G209" s="561"/>
      <c r="H209" s="561"/>
      <c r="I209" s="561"/>
      <c r="J209" s="561"/>
      <c r="K209" s="561"/>
      <c r="L209" s="561"/>
      <c r="M209" s="559"/>
      <c r="N209" s="559"/>
      <c r="O209" s="562"/>
      <c r="P209" s="559"/>
      <c r="Q209" s="562"/>
      <c r="R209" s="559"/>
      <c r="S209" s="562"/>
      <c r="T209" s="562"/>
      <c r="U209" s="561"/>
      <c r="V209" s="561"/>
      <c r="W209" s="561"/>
      <c r="X209" s="910"/>
    </row>
    <row r="210" spans="1:24">
      <c r="A210" s="561" t="s">
        <v>197</v>
      </c>
      <c r="B210" s="449"/>
      <c r="C210" s="450"/>
      <c r="D210" s="558"/>
      <c r="E210" s="559"/>
      <c r="F210" s="560"/>
      <c r="G210" s="561"/>
      <c r="H210" s="561"/>
      <c r="I210" s="561"/>
      <c r="J210" s="561"/>
      <c r="K210" s="561"/>
      <c r="L210" s="561"/>
      <c r="M210" s="559"/>
      <c r="N210" s="559"/>
      <c r="O210" s="562"/>
      <c r="P210" s="559"/>
      <c r="Q210" s="562"/>
      <c r="R210" s="559"/>
      <c r="S210" s="562"/>
      <c r="T210" s="562"/>
      <c r="U210" s="561"/>
      <c r="V210" s="561"/>
      <c r="W210" s="561"/>
      <c r="X210" s="910"/>
    </row>
    <row r="211" spans="1:24">
      <c r="A211" s="561" t="s">
        <v>198</v>
      </c>
      <c r="B211" s="449"/>
      <c r="C211" s="450">
        <v>1864</v>
      </c>
      <c r="D211" s="558"/>
      <c r="E211" s="559"/>
      <c r="F211" s="560"/>
      <c r="G211" s="561"/>
      <c r="H211" s="561"/>
      <c r="I211" s="561"/>
      <c r="J211" s="561"/>
      <c r="K211" s="561"/>
      <c r="L211" s="561"/>
      <c r="M211" s="559"/>
      <c r="N211" s="559"/>
      <c r="O211" s="562"/>
      <c r="P211" s="559"/>
      <c r="Q211" s="562"/>
      <c r="R211" s="559"/>
      <c r="S211" s="562"/>
      <c r="T211" s="562"/>
      <c r="U211" s="561"/>
      <c r="V211" s="561"/>
      <c r="W211" s="561"/>
      <c r="X211" s="910"/>
    </row>
    <row r="212" spans="1:24">
      <c r="A212" s="561" t="s">
        <v>199</v>
      </c>
      <c r="B212" s="454"/>
      <c r="C212" s="455"/>
      <c r="D212" s="558"/>
      <c r="E212" s="559"/>
      <c r="F212" s="560"/>
      <c r="G212" s="456"/>
      <c r="H212" s="456"/>
      <c r="I212" s="456"/>
      <c r="J212" s="456"/>
      <c r="K212" s="456"/>
      <c r="L212" s="456"/>
      <c r="M212" s="457"/>
      <c r="N212" s="457"/>
      <c r="O212" s="458"/>
      <c r="P212" s="457"/>
      <c r="Q212" s="458"/>
      <c r="R212" s="457"/>
      <c r="S212" s="458"/>
      <c r="T212" s="458"/>
      <c r="U212" s="456"/>
      <c r="V212" s="456"/>
      <c r="W212" s="456"/>
      <c r="X212" s="905"/>
    </row>
    <row r="213" spans="1:24">
      <c r="A213" s="561" t="s">
        <v>200</v>
      </c>
      <c r="B213" s="449">
        <v>120</v>
      </c>
      <c r="C213" s="450"/>
      <c r="D213" s="558"/>
      <c r="E213" s="559"/>
      <c r="F213" s="560"/>
      <c r="G213" s="561"/>
      <c r="H213" s="561"/>
      <c r="I213" s="561"/>
      <c r="J213" s="561"/>
      <c r="K213" s="561"/>
      <c r="L213" s="561"/>
      <c r="M213" s="559"/>
      <c r="N213" s="559"/>
      <c r="O213" s="562"/>
      <c r="P213" s="559"/>
      <c r="Q213" s="562"/>
      <c r="R213" s="559"/>
      <c r="S213" s="562"/>
      <c r="T213" s="562"/>
      <c r="U213" s="561"/>
      <c r="V213" s="561"/>
      <c r="W213" s="561"/>
      <c r="X213" s="910"/>
    </row>
    <row r="214" spans="1:24">
      <c r="A214" s="561" t="s">
        <v>201</v>
      </c>
      <c r="B214" s="449"/>
      <c r="C214" s="450">
        <v>14000</v>
      </c>
      <c r="D214" s="558"/>
      <c r="E214" s="562"/>
      <c r="F214" s="563"/>
      <c r="G214" s="561"/>
      <c r="H214" s="561"/>
      <c r="I214" s="561"/>
      <c r="J214" s="561"/>
      <c r="K214" s="561"/>
      <c r="L214" s="561"/>
      <c r="M214" s="559"/>
      <c r="N214" s="559"/>
      <c r="O214" s="562"/>
      <c r="P214" s="559"/>
      <c r="Q214" s="562"/>
      <c r="R214" s="559"/>
      <c r="S214" s="562"/>
      <c r="T214" s="562"/>
      <c r="U214" s="561"/>
      <c r="V214" s="561"/>
      <c r="W214" s="561"/>
      <c r="X214" s="910"/>
    </row>
    <row r="215" spans="1:24">
      <c r="A215" s="456"/>
      <c r="B215" s="449"/>
      <c r="C215" s="450"/>
      <c r="D215" s="558"/>
      <c r="E215" s="457"/>
      <c r="F215" s="459"/>
      <c r="G215" s="456"/>
      <c r="H215" s="456"/>
      <c r="I215" s="456"/>
      <c r="J215" s="456"/>
      <c r="K215" s="456"/>
      <c r="L215" s="456"/>
      <c r="M215" s="457"/>
      <c r="N215" s="457"/>
      <c r="O215" s="458"/>
      <c r="P215" s="457"/>
      <c r="Q215" s="458"/>
      <c r="R215" s="457"/>
      <c r="S215" s="458"/>
      <c r="T215" s="458"/>
      <c r="U215" s="456"/>
      <c r="V215" s="456"/>
      <c r="W215" s="456"/>
      <c r="X215" s="905"/>
    </row>
    <row r="216" spans="1:24">
      <c r="A216" s="149"/>
      <c r="B216" s="460">
        <v>120</v>
      </c>
      <c r="C216" s="461">
        <v>15864</v>
      </c>
      <c r="D216" s="462">
        <v>0</v>
      </c>
      <c r="E216" s="463">
        <v>0</v>
      </c>
      <c r="F216" s="464">
        <v>0</v>
      </c>
      <c r="G216" s="149"/>
      <c r="H216" s="149"/>
      <c r="I216" s="149"/>
      <c r="J216" s="149"/>
      <c r="K216" s="149"/>
      <c r="L216" s="149"/>
      <c r="M216" s="392"/>
      <c r="N216" s="392"/>
      <c r="O216" s="447"/>
      <c r="P216" s="392"/>
      <c r="Q216" s="447"/>
      <c r="R216" s="392"/>
      <c r="S216" s="447"/>
      <c r="T216" s="447"/>
      <c r="U216" s="149"/>
      <c r="V216" s="149"/>
      <c r="W216" s="149"/>
      <c r="X216" s="903"/>
    </row>
    <row r="217" spans="1:24">
      <c r="A217" s="149" t="s">
        <v>621</v>
      </c>
      <c r="B217" s="443"/>
      <c r="C217" s="444"/>
      <c r="D217" s="445"/>
      <c r="E217" s="559"/>
      <c r="F217" s="560"/>
      <c r="G217" s="149"/>
      <c r="H217" s="149"/>
      <c r="I217" s="149"/>
      <c r="J217" s="149"/>
      <c r="K217" s="149"/>
      <c r="L217" s="149"/>
      <c r="M217" s="392"/>
      <c r="N217" s="392"/>
      <c r="O217" s="447"/>
      <c r="P217" s="392"/>
      <c r="Q217" s="447"/>
      <c r="R217" s="392"/>
      <c r="S217" s="447"/>
      <c r="T217" s="447"/>
      <c r="U217" s="149"/>
      <c r="V217" s="149"/>
      <c r="W217" s="149"/>
      <c r="X217" s="903"/>
    </row>
    <row r="218" spans="1:24">
      <c r="A218" s="561" t="s">
        <v>202</v>
      </c>
      <c r="B218" s="449">
        <v>-54079</v>
      </c>
      <c r="C218" s="450">
        <v>54079</v>
      </c>
      <c r="D218" s="558"/>
      <c r="E218" s="559"/>
      <c r="F218" s="560"/>
      <c r="G218" s="561"/>
      <c r="H218" s="561"/>
      <c r="I218" s="561"/>
      <c r="J218" s="561"/>
      <c r="K218" s="561"/>
      <c r="L218" s="561"/>
      <c r="M218" s="559"/>
      <c r="N218" s="559"/>
      <c r="O218" s="562"/>
      <c r="P218" s="559"/>
      <c r="Q218" s="562"/>
      <c r="R218" s="559"/>
      <c r="S218" s="562"/>
      <c r="T218" s="562"/>
      <c r="U218" s="561"/>
      <c r="V218" s="561"/>
      <c r="W218" s="561"/>
      <c r="X218" s="910"/>
    </row>
    <row r="219" spans="1:24">
      <c r="A219" s="561" t="s">
        <v>203</v>
      </c>
      <c r="B219" s="449">
        <v>-73588</v>
      </c>
      <c r="C219" s="450"/>
      <c r="D219" s="558"/>
      <c r="E219" s="559"/>
      <c r="F219" s="560"/>
      <c r="G219" s="561"/>
      <c r="H219" s="561"/>
      <c r="I219" s="561"/>
      <c r="J219" s="561"/>
      <c r="K219" s="561"/>
      <c r="L219" s="561"/>
      <c r="M219" s="559"/>
      <c r="N219" s="559"/>
      <c r="O219" s="562"/>
      <c r="P219" s="559"/>
      <c r="Q219" s="562"/>
      <c r="R219" s="559"/>
      <c r="S219" s="562"/>
      <c r="T219" s="562"/>
      <c r="U219" s="561"/>
      <c r="V219" s="561"/>
      <c r="W219" s="561"/>
      <c r="X219" s="910"/>
    </row>
    <row r="220" spans="1:24">
      <c r="A220" s="561" t="s">
        <v>84</v>
      </c>
      <c r="B220" s="449">
        <v>-42603</v>
      </c>
      <c r="C220" s="450"/>
      <c r="D220" s="558"/>
      <c r="E220" s="457"/>
      <c r="F220" s="459"/>
      <c r="G220" s="456"/>
      <c r="H220" s="456"/>
      <c r="I220" s="456"/>
      <c r="J220" s="456"/>
      <c r="K220" s="456"/>
      <c r="L220" s="456"/>
      <c r="M220" s="457"/>
      <c r="N220" s="457"/>
      <c r="O220" s="458"/>
      <c r="P220" s="457"/>
      <c r="Q220" s="458"/>
      <c r="R220" s="457"/>
      <c r="S220" s="458"/>
      <c r="T220" s="458"/>
      <c r="U220" s="456"/>
      <c r="V220" s="456"/>
      <c r="W220" s="456"/>
      <c r="X220" s="905"/>
    </row>
    <row r="221" spans="1:24">
      <c r="A221" s="561" t="s">
        <v>85</v>
      </c>
      <c r="B221" s="449"/>
      <c r="C221" s="450"/>
      <c r="D221" s="558"/>
      <c r="E221" s="457"/>
      <c r="F221" s="459"/>
      <c r="G221" s="456"/>
      <c r="H221" s="456"/>
      <c r="I221" s="456"/>
      <c r="J221" s="456"/>
      <c r="K221" s="456"/>
      <c r="L221" s="456"/>
      <c r="M221" s="457"/>
      <c r="N221" s="457"/>
      <c r="O221" s="458"/>
      <c r="P221" s="457"/>
      <c r="Q221" s="458"/>
      <c r="R221" s="457"/>
      <c r="S221" s="458"/>
      <c r="T221" s="458"/>
      <c r="U221" s="456"/>
      <c r="V221" s="456"/>
      <c r="W221" s="456"/>
      <c r="X221" s="905"/>
    </row>
    <row r="222" spans="1:24">
      <c r="A222" s="561" t="s">
        <v>86</v>
      </c>
      <c r="B222" s="449"/>
      <c r="C222" s="450"/>
      <c r="D222" s="558"/>
      <c r="E222" s="559"/>
      <c r="F222" s="560"/>
      <c r="G222" s="456"/>
      <c r="H222" s="456"/>
      <c r="I222" s="456"/>
      <c r="J222" s="456"/>
      <c r="K222" s="456"/>
      <c r="L222" s="456"/>
      <c r="M222" s="457"/>
      <c r="N222" s="457"/>
      <c r="O222" s="458"/>
      <c r="P222" s="457"/>
      <c r="Q222" s="458"/>
      <c r="R222" s="457"/>
      <c r="S222" s="458"/>
      <c r="T222" s="458"/>
      <c r="U222" s="456"/>
      <c r="V222" s="456"/>
      <c r="W222" s="456"/>
      <c r="X222" s="905"/>
    </row>
    <row r="223" spans="1:24">
      <c r="A223" s="561" t="s">
        <v>87</v>
      </c>
      <c r="B223" s="449">
        <v>960</v>
      </c>
      <c r="C223" s="450"/>
      <c r="D223" s="558"/>
      <c r="E223" s="457"/>
      <c r="F223" s="459"/>
      <c r="G223" s="456"/>
      <c r="H223" s="456"/>
      <c r="I223" s="456"/>
      <c r="J223" s="456"/>
      <c r="K223" s="456"/>
      <c r="L223" s="456"/>
      <c r="M223" s="457"/>
      <c r="N223" s="457"/>
      <c r="O223" s="458"/>
      <c r="P223" s="457"/>
      <c r="Q223" s="458"/>
      <c r="R223" s="457"/>
      <c r="S223" s="458"/>
      <c r="T223" s="458"/>
      <c r="U223" s="456"/>
      <c r="V223" s="456"/>
      <c r="W223" s="456"/>
      <c r="X223" s="905"/>
    </row>
    <row r="224" spans="1:24">
      <c r="A224" s="561" t="s">
        <v>88</v>
      </c>
      <c r="B224" s="449">
        <v>128</v>
      </c>
      <c r="C224" s="450"/>
      <c r="D224" s="558"/>
      <c r="E224" s="457"/>
      <c r="F224" s="459"/>
      <c r="G224" s="456"/>
      <c r="H224" s="456"/>
      <c r="I224" s="456"/>
      <c r="J224" s="456"/>
      <c r="K224" s="456"/>
      <c r="L224" s="456"/>
      <c r="M224" s="457"/>
      <c r="N224" s="457"/>
      <c r="O224" s="458"/>
      <c r="P224" s="457"/>
      <c r="Q224" s="458"/>
      <c r="R224" s="457"/>
      <c r="S224" s="458"/>
      <c r="T224" s="458"/>
      <c r="U224" s="456"/>
      <c r="V224" s="456"/>
      <c r="W224" s="456"/>
      <c r="X224" s="905"/>
    </row>
    <row r="225" spans="1:24">
      <c r="A225" s="561" t="s">
        <v>89</v>
      </c>
      <c r="B225" s="449">
        <v>684</v>
      </c>
      <c r="C225" s="450"/>
      <c r="D225" s="558"/>
      <c r="E225" s="457"/>
      <c r="F225" s="459"/>
      <c r="G225" s="456"/>
      <c r="H225" s="456"/>
      <c r="I225" s="456"/>
      <c r="J225" s="456"/>
      <c r="K225" s="456"/>
      <c r="L225" s="456"/>
      <c r="M225" s="457"/>
      <c r="N225" s="457"/>
      <c r="O225" s="458"/>
      <c r="P225" s="457"/>
      <c r="Q225" s="458"/>
      <c r="R225" s="457"/>
      <c r="S225" s="458"/>
      <c r="T225" s="458"/>
      <c r="U225" s="456"/>
      <c r="V225" s="456"/>
      <c r="W225" s="456"/>
      <c r="X225" s="905"/>
    </row>
    <row r="226" spans="1:24">
      <c r="A226" s="561" t="s">
        <v>686</v>
      </c>
      <c r="B226" s="449"/>
      <c r="C226" s="450"/>
      <c r="D226" s="558">
        <v>90758</v>
      </c>
      <c r="E226" s="559"/>
      <c r="F226" s="560"/>
      <c r="G226" s="456"/>
      <c r="H226" s="456"/>
      <c r="I226" s="456"/>
      <c r="J226" s="456"/>
      <c r="K226" s="456"/>
      <c r="L226" s="456"/>
      <c r="M226" s="457"/>
      <c r="N226" s="457"/>
      <c r="O226" s="458"/>
      <c r="P226" s="457"/>
      <c r="Q226" s="458"/>
      <c r="R226" s="457"/>
      <c r="S226" s="458"/>
      <c r="T226" s="458"/>
      <c r="U226" s="456"/>
      <c r="V226" s="456"/>
      <c r="W226" s="456"/>
      <c r="X226" s="905"/>
    </row>
    <row r="227" spans="1:24">
      <c r="A227" s="561" t="s">
        <v>91</v>
      </c>
      <c r="B227" s="449"/>
      <c r="C227" s="450"/>
      <c r="D227" s="558"/>
      <c r="E227" s="559">
        <v>142901</v>
      </c>
      <c r="F227" s="560"/>
      <c r="G227" s="456"/>
      <c r="H227" s="456"/>
      <c r="I227" s="456"/>
      <c r="J227" s="456"/>
      <c r="K227" s="456"/>
      <c r="L227" s="456"/>
      <c r="M227" s="457"/>
      <c r="N227" s="457"/>
      <c r="O227" s="458"/>
      <c r="P227" s="457"/>
      <c r="Q227" s="458"/>
      <c r="R227" s="457"/>
      <c r="S227" s="458"/>
      <c r="T227" s="458"/>
      <c r="U227" s="456"/>
      <c r="V227" s="456"/>
      <c r="W227" s="456"/>
      <c r="X227" s="905"/>
    </row>
    <row r="228" spans="1:24">
      <c r="A228" s="561" t="s">
        <v>92</v>
      </c>
      <c r="B228" s="449"/>
      <c r="C228" s="450"/>
      <c r="D228" s="558">
        <v>-23425</v>
      </c>
      <c r="E228" s="559">
        <v>-47921</v>
      </c>
      <c r="F228" s="560"/>
      <c r="G228" s="456"/>
      <c r="H228" s="456"/>
      <c r="I228" s="456"/>
      <c r="J228" s="456"/>
      <c r="K228" s="456"/>
      <c r="L228" s="456"/>
      <c r="M228" s="457"/>
      <c r="N228" s="457"/>
      <c r="O228" s="458"/>
      <c r="P228" s="457"/>
      <c r="Q228" s="458"/>
      <c r="R228" s="457"/>
      <c r="S228" s="458"/>
      <c r="T228" s="458"/>
      <c r="U228" s="456"/>
      <c r="V228" s="456"/>
      <c r="W228" s="456"/>
      <c r="X228" s="905"/>
    </row>
    <row r="229" spans="1:24">
      <c r="A229" s="561"/>
      <c r="B229" s="465"/>
      <c r="C229" s="466"/>
      <c r="D229" s="558"/>
      <c r="E229" s="559"/>
      <c r="F229" s="560"/>
      <c r="G229" s="561"/>
      <c r="H229" s="561"/>
      <c r="I229" s="561"/>
      <c r="J229" s="561"/>
      <c r="K229" s="561"/>
      <c r="L229" s="561"/>
      <c r="M229" s="559"/>
      <c r="N229" s="559"/>
      <c r="O229" s="564"/>
      <c r="P229" s="559"/>
      <c r="Q229" s="562"/>
      <c r="R229" s="559"/>
      <c r="S229" s="562"/>
      <c r="T229" s="562"/>
      <c r="U229" s="561"/>
      <c r="V229" s="561"/>
      <c r="W229" s="561"/>
      <c r="X229" s="910"/>
    </row>
    <row r="230" spans="1:24">
      <c r="A230" s="149"/>
      <c r="B230" s="443">
        <v>-168498</v>
      </c>
      <c r="C230" s="444">
        <v>54079</v>
      </c>
      <c r="D230" s="462">
        <v>67333</v>
      </c>
      <c r="E230" s="463">
        <v>94980</v>
      </c>
      <c r="F230" s="464">
        <v>0</v>
      </c>
      <c r="G230" s="149"/>
      <c r="H230" s="149"/>
      <c r="I230" s="149"/>
      <c r="J230" s="149"/>
      <c r="K230" s="149"/>
      <c r="L230" s="149"/>
      <c r="M230" s="392"/>
      <c r="N230" s="392"/>
      <c r="O230" s="447"/>
      <c r="P230" s="392"/>
      <c r="Q230" s="447"/>
      <c r="R230" s="392"/>
      <c r="S230" s="447"/>
      <c r="T230" s="447"/>
      <c r="U230" s="149"/>
      <c r="V230" s="149"/>
      <c r="W230" s="149"/>
      <c r="X230" s="903"/>
    </row>
    <row r="231" spans="1:24">
      <c r="A231" s="149" t="s">
        <v>619</v>
      </c>
      <c r="B231" s="443"/>
      <c r="C231" s="444"/>
      <c r="D231" s="445"/>
      <c r="E231" s="392"/>
      <c r="F231" s="446"/>
      <c r="G231" s="149"/>
      <c r="H231" s="149"/>
      <c r="I231" s="149"/>
      <c r="J231" s="149"/>
      <c r="K231" s="149"/>
      <c r="L231" s="149"/>
      <c r="M231" s="392"/>
      <c r="N231" s="392"/>
      <c r="O231" s="447"/>
      <c r="P231" s="392"/>
      <c r="Q231" s="447"/>
      <c r="R231" s="392"/>
      <c r="S231" s="447"/>
      <c r="T231" s="447"/>
      <c r="U231" s="149"/>
      <c r="V231" s="149"/>
      <c r="W231" s="149"/>
      <c r="X231" s="903"/>
    </row>
    <row r="232" spans="1:24">
      <c r="A232" s="557" t="s">
        <v>93</v>
      </c>
      <c r="B232" s="449"/>
      <c r="C232" s="450"/>
      <c r="D232" s="558"/>
      <c r="E232" s="560"/>
      <c r="F232" s="560"/>
      <c r="G232" s="456"/>
      <c r="H232" s="456"/>
      <c r="I232" s="456"/>
      <c r="J232" s="456"/>
      <c r="K232" s="456"/>
      <c r="L232" s="456"/>
      <c r="M232" s="457"/>
      <c r="N232" s="457"/>
      <c r="O232" s="458"/>
      <c r="P232" s="457"/>
      <c r="Q232" s="458"/>
      <c r="R232" s="457"/>
      <c r="S232" s="458"/>
      <c r="T232" s="458"/>
      <c r="U232" s="456"/>
      <c r="V232" s="456"/>
      <c r="W232" s="456"/>
      <c r="X232" s="905"/>
    </row>
    <row r="233" spans="1:24" ht="57.75">
      <c r="A233" s="557" t="s">
        <v>94</v>
      </c>
      <c r="B233" s="449"/>
      <c r="C233" s="450"/>
      <c r="D233" s="558"/>
      <c r="E233" s="559"/>
      <c r="F233" s="560"/>
      <c r="G233" s="456"/>
      <c r="H233" s="456"/>
      <c r="I233" s="456"/>
      <c r="J233" s="456"/>
      <c r="K233" s="456"/>
      <c r="L233" s="456"/>
      <c r="M233" s="457"/>
      <c r="N233" s="457"/>
      <c r="O233" s="458"/>
      <c r="P233" s="457"/>
      <c r="Q233" s="458"/>
      <c r="R233" s="457"/>
      <c r="S233" s="458"/>
      <c r="T233" s="458"/>
      <c r="U233" s="456"/>
      <c r="V233" s="456"/>
      <c r="W233" s="456"/>
      <c r="X233" s="905"/>
    </row>
    <row r="234" spans="1:24">
      <c r="A234" s="561" t="s">
        <v>95</v>
      </c>
      <c r="B234" s="449"/>
      <c r="C234" s="450">
        <v>39023</v>
      </c>
      <c r="D234" s="558"/>
      <c r="E234" s="559"/>
      <c r="F234" s="560"/>
      <c r="G234" s="561"/>
      <c r="H234" s="561"/>
      <c r="I234" s="561"/>
      <c r="J234" s="561"/>
      <c r="K234" s="561"/>
      <c r="L234" s="561"/>
      <c r="M234" s="559"/>
      <c r="N234" s="559"/>
      <c r="O234" s="562"/>
      <c r="P234" s="559"/>
      <c r="Q234" s="562"/>
      <c r="R234" s="559"/>
      <c r="S234" s="562"/>
      <c r="T234" s="562"/>
      <c r="U234" s="561"/>
      <c r="V234" s="561"/>
      <c r="W234" s="561"/>
      <c r="X234" s="910"/>
    </row>
    <row r="235" spans="1:24">
      <c r="A235" s="561" t="s">
        <v>201</v>
      </c>
      <c r="B235" s="467"/>
      <c r="C235" s="449">
        <v>14451</v>
      </c>
      <c r="D235" s="558"/>
      <c r="E235" s="562"/>
      <c r="F235" s="563"/>
      <c r="G235" s="561"/>
      <c r="H235" s="561"/>
      <c r="I235" s="561"/>
      <c r="J235" s="561"/>
      <c r="K235" s="561"/>
      <c r="L235" s="561"/>
      <c r="M235" s="559"/>
      <c r="N235" s="559"/>
      <c r="O235" s="562"/>
      <c r="P235" s="559"/>
      <c r="Q235" s="562"/>
      <c r="R235" s="559"/>
      <c r="S235" s="562"/>
      <c r="T235" s="562"/>
      <c r="U235" s="561"/>
      <c r="V235" s="561"/>
      <c r="W235" s="561"/>
      <c r="X235" s="910"/>
    </row>
    <row r="236" spans="1:24">
      <c r="A236" s="561" t="s">
        <v>96</v>
      </c>
      <c r="B236" s="449"/>
      <c r="C236" s="450"/>
      <c r="D236" s="558"/>
      <c r="E236" s="559">
        <v>73000</v>
      </c>
      <c r="F236" s="560"/>
      <c r="G236" s="561"/>
      <c r="H236" s="561"/>
      <c r="I236" s="561"/>
      <c r="J236" s="561"/>
      <c r="K236" s="561"/>
      <c r="L236" s="561"/>
      <c r="M236" s="559"/>
      <c r="N236" s="559"/>
      <c r="O236" s="562"/>
      <c r="P236" s="559"/>
      <c r="Q236" s="562"/>
      <c r="R236" s="559"/>
      <c r="S236" s="562"/>
      <c r="T236" s="562"/>
      <c r="U236" s="561"/>
      <c r="V236" s="561"/>
      <c r="W236" s="561"/>
      <c r="X236" s="910"/>
    </row>
    <row r="237" spans="1:24">
      <c r="A237" s="561" t="s">
        <v>97</v>
      </c>
      <c r="B237" s="449"/>
      <c r="C237" s="450"/>
      <c r="D237" s="558">
        <v>6746</v>
      </c>
      <c r="E237" s="559"/>
      <c r="F237" s="560"/>
      <c r="G237" s="561"/>
      <c r="H237" s="561"/>
      <c r="I237" s="561"/>
      <c r="J237" s="561"/>
      <c r="K237" s="561"/>
      <c r="L237" s="561"/>
      <c r="M237" s="559"/>
      <c r="N237" s="559"/>
      <c r="O237" s="562"/>
      <c r="P237" s="559"/>
      <c r="Q237" s="562"/>
      <c r="R237" s="559"/>
      <c r="S237" s="562"/>
      <c r="T237" s="562"/>
      <c r="U237" s="561"/>
      <c r="V237" s="561"/>
      <c r="W237" s="561"/>
      <c r="X237" s="910"/>
    </row>
    <row r="238" spans="1:24">
      <c r="A238" s="561" t="s">
        <v>98</v>
      </c>
      <c r="B238" s="449">
        <v>-2856</v>
      </c>
      <c r="C238" s="450"/>
      <c r="D238" s="558"/>
      <c r="E238" s="562"/>
      <c r="F238" s="563"/>
      <c r="G238" s="561"/>
      <c r="H238" s="561"/>
      <c r="I238" s="561"/>
      <c r="J238" s="561"/>
      <c r="K238" s="561"/>
      <c r="L238" s="561"/>
      <c r="M238" s="559"/>
      <c r="N238" s="559"/>
      <c r="O238" s="562"/>
      <c r="P238" s="559"/>
      <c r="Q238" s="562"/>
      <c r="R238" s="559"/>
      <c r="S238" s="562"/>
      <c r="T238" s="562"/>
      <c r="U238" s="561"/>
      <c r="V238" s="561"/>
      <c r="W238" s="561"/>
      <c r="X238" s="910"/>
    </row>
    <row r="239" spans="1:24">
      <c r="A239" s="561" t="s">
        <v>99</v>
      </c>
      <c r="B239" s="449"/>
      <c r="C239" s="450"/>
      <c r="D239" s="558"/>
      <c r="E239" s="560"/>
      <c r="F239" s="560"/>
      <c r="G239" s="561"/>
      <c r="H239" s="561"/>
      <c r="I239" s="561"/>
      <c r="J239" s="561"/>
      <c r="K239" s="561"/>
      <c r="L239" s="561"/>
      <c r="M239" s="559"/>
      <c r="N239" s="559"/>
      <c r="O239" s="562"/>
      <c r="P239" s="559"/>
      <c r="Q239" s="562"/>
      <c r="R239" s="559"/>
      <c r="S239" s="562"/>
      <c r="T239" s="562"/>
      <c r="U239" s="561"/>
      <c r="V239" s="561"/>
      <c r="W239" s="561"/>
      <c r="X239" s="910"/>
    </row>
    <row r="240" spans="1:24">
      <c r="A240" s="561"/>
      <c r="B240" s="449"/>
      <c r="C240" s="450"/>
      <c r="D240" s="558"/>
      <c r="E240" s="457"/>
      <c r="F240" s="459"/>
      <c r="G240" s="456"/>
      <c r="H240" s="456"/>
      <c r="I240" s="456"/>
      <c r="J240" s="456"/>
      <c r="K240" s="456"/>
      <c r="L240" s="456"/>
      <c r="M240" s="457"/>
      <c r="N240" s="457"/>
      <c r="O240" s="458"/>
      <c r="P240" s="457"/>
      <c r="Q240" s="458"/>
      <c r="R240" s="457"/>
      <c r="S240" s="458"/>
      <c r="T240" s="458"/>
      <c r="U240" s="456"/>
      <c r="V240" s="456"/>
      <c r="W240" s="456"/>
      <c r="X240" s="905"/>
    </row>
    <row r="241" spans="1:24">
      <c r="A241" s="561"/>
      <c r="B241" s="468">
        <v>-2856</v>
      </c>
      <c r="C241" s="469">
        <v>53474</v>
      </c>
      <c r="D241" s="565">
        <v>6746</v>
      </c>
      <c r="E241" s="566">
        <v>73000</v>
      </c>
      <c r="F241" s="567">
        <v>0</v>
      </c>
      <c r="G241" s="561"/>
      <c r="H241" s="561"/>
      <c r="I241" s="561"/>
      <c r="J241" s="561"/>
      <c r="K241" s="561"/>
      <c r="L241" s="561"/>
      <c r="M241" s="559"/>
      <c r="N241" s="559"/>
      <c r="O241" s="562"/>
      <c r="P241" s="559"/>
      <c r="Q241" s="562"/>
      <c r="R241" s="559"/>
      <c r="S241" s="562"/>
      <c r="T241" s="562"/>
      <c r="U241" s="561"/>
      <c r="V241" s="561"/>
      <c r="W241" s="561"/>
      <c r="X241" s="910"/>
    </row>
    <row r="242" spans="1:24">
      <c r="A242" s="561"/>
      <c r="B242" s="449"/>
      <c r="C242" s="450"/>
      <c r="D242" s="558"/>
      <c r="E242" s="559"/>
      <c r="F242" s="560"/>
      <c r="G242" s="561"/>
      <c r="H242" s="561"/>
      <c r="I242" s="561"/>
      <c r="J242" s="561"/>
      <c r="K242" s="561"/>
      <c r="L242" s="561"/>
      <c r="M242" s="559"/>
      <c r="N242" s="559"/>
      <c r="O242" s="562"/>
      <c r="P242" s="559"/>
      <c r="Q242" s="562"/>
      <c r="R242" s="559"/>
      <c r="S242" s="562"/>
      <c r="T242" s="562"/>
      <c r="U242" s="561"/>
      <c r="V242" s="561"/>
      <c r="W242" s="561"/>
      <c r="X242" s="910"/>
    </row>
    <row r="243" spans="1:24">
      <c r="A243" s="149" t="s">
        <v>625</v>
      </c>
      <c r="B243" s="443">
        <v>-171234</v>
      </c>
      <c r="C243" s="444">
        <v>123417</v>
      </c>
      <c r="D243" s="445">
        <v>74079</v>
      </c>
      <c r="E243" s="392">
        <v>167980</v>
      </c>
      <c r="F243" s="446">
        <v>0</v>
      </c>
      <c r="G243" s="149"/>
      <c r="H243" s="149"/>
      <c r="I243" s="149"/>
      <c r="J243" s="149"/>
      <c r="K243" s="149"/>
      <c r="L243" s="149"/>
      <c r="M243" s="392"/>
      <c r="N243" s="392"/>
      <c r="O243" s="473"/>
      <c r="P243" s="392"/>
      <c r="Q243" s="473"/>
      <c r="R243" s="392"/>
      <c r="S243" s="473"/>
      <c r="T243" s="447"/>
      <c r="U243" s="149"/>
      <c r="V243" s="149"/>
      <c r="W243" s="149"/>
      <c r="X243" s="903"/>
    </row>
    <row r="245" spans="1:24" s="279" customFormat="1">
      <c r="A245" s="657"/>
      <c r="C245" s="318"/>
      <c r="X245" s="911"/>
    </row>
    <row r="246" spans="1:24">
      <c r="A246" s="430" t="s">
        <v>871</v>
      </c>
    </row>
    <row r="247" spans="1:24" ht="15">
      <c r="A247" s="417" t="s">
        <v>867</v>
      </c>
    </row>
    <row r="248" spans="1:24" ht="15">
      <c r="A248" s="417"/>
    </row>
    <row r="249" spans="1:24" ht="15.75" thickBot="1">
      <c r="A249" s="417"/>
    </row>
    <row r="250" spans="1:24" ht="13.5" thickBot="1">
      <c r="A250" s="653" t="s">
        <v>185</v>
      </c>
      <c r="B250" s="653" t="s">
        <v>868</v>
      </c>
      <c r="C250" s="130" t="s">
        <v>872</v>
      </c>
      <c r="D250" s="71" t="s">
        <v>352</v>
      </c>
    </row>
    <row r="251" spans="1:24">
      <c r="A251" s="654" t="s">
        <v>187</v>
      </c>
      <c r="B251" s="655">
        <v>352215</v>
      </c>
      <c r="C251" s="158">
        <v>352215</v>
      </c>
      <c r="D251" s="322">
        <v>0</v>
      </c>
    </row>
    <row r="252" spans="1:24" ht="22.5">
      <c r="A252" s="654" t="s">
        <v>188</v>
      </c>
      <c r="B252" s="655">
        <v>702110</v>
      </c>
      <c r="C252" s="158">
        <v>703104</v>
      </c>
      <c r="D252" s="322">
        <v>-994</v>
      </c>
    </row>
    <row r="253" spans="1:24">
      <c r="A253" s="654" t="s">
        <v>189</v>
      </c>
      <c r="B253" s="655">
        <v>541325</v>
      </c>
      <c r="C253" s="158">
        <v>540096</v>
      </c>
      <c r="D253" s="322">
        <v>1229</v>
      </c>
    </row>
    <row r="254" spans="1:24" ht="22.5">
      <c r="A254" s="654" t="s">
        <v>869</v>
      </c>
      <c r="B254" s="658">
        <v>24929</v>
      </c>
      <c r="C254" s="318">
        <v>0</v>
      </c>
      <c r="D254" s="659">
        <v>24929</v>
      </c>
    </row>
    <row r="255" spans="1:24" ht="15">
      <c r="A255" s="417"/>
      <c r="B255" s="322">
        <v>1620579</v>
      </c>
      <c r="C255" s="322">
        <v>1595415</v>
      </c>
      <c r="D255" s="322">
        <v>25164</v>
      </c>
    </row>
    <row r="256" spans="1:24" ht="15">
      <c r="A256" s="417" t="s">
        <v>870</v>
      </c>
    </row>
    <row r="257" spans="1:9" ht="16.5">
      <c r="A257" s="656" t="s">
        <v>110</v>
      </c>
    </row>
    <row r="261" spans="1:9" ht="21">
      <c r="A261" s="1233" t="s">
        <v>1533</v>
      </c>
      <c r="B261" s="1234"/>
      <c r="C261" s="1234"/>
      <c r="D261" s="1235"/>
      <c r="E261" s="1234"/>
      <c r="F261" s="1234"/>
      <c r="G261" s="1234"/>
    </row>
    <row r="262" spans="1:9" ht="30">
      <c r="A262" s="1225" t="s">
        <v>1534</v>
      </c>
      <c r="B262" s="1225" t="s">
        <v>1535</v>
      </c>
      <c r="C262" s="1225" t="s">
        <v>38</v>
      </c>
      <c r="D262" s="1226" t="s">
        <v>1536</v>
      </c>
      <c r="E262" s="1225" t="s">
        <v>1537</v>
      </c>
      <c r="F262" s="1227" t="s">
        <v>1538</v>
      </c>
      <c r="G262" s="1228"/>
    </row>
    <row r="263" spans="1:9" ht="15">
      <c r="A263" s="1229" t="s">
        <v>1539</v>
      </c>
      <c r="B263" s="1230" t="s">
        <v>393</v>
      </c>
      <c r="C263" s="1230" t="s">
        <v>1540</v>
      </c>
      <c r="D263" s="1231">
        <v>1920</v>
      </c>
      <c r="E263" s="1230" t="s">
        <v>595</v>
      </c>
      <c r="F263" s="1230"/>
      <c r="G263" s="1230"/>
    </row>
    <row r="264" spans="1:9" ht="15">
      <c r="A264" s="1229"/>
      <c r="B264" s="1230"/>
      <c r="C264" s="1230" t="s">
        <v>1541</v>
      </c>
      <c r="D264" s="1231">
        <v>-39500</v>
      </c>
      <c r="E264" s="1230" t="s">
        <v>595</v>
      </c>
      <c r="F264" s="1230"/>
      <c r="G264" s="1230"/>
    </row>
    <row r="265" spans="1:9" ht="15">
      <c r="A265" s="1229"/>
      <c r="B265" s="1230"/>
      <c r="C265" s="1230"/>
      <c r="D265" s="1231"/>
      <c r="E265" s="1230"/>
      <c r="F265" s="1230"/>
      <c r="G265" s="1230"/>
    </row>
    <row r="266" spans="1:9" ht="15">
      <c r="A266" s="1229"/>
      <c r="B266" s="1230" t="s">
        <v>621</v>
      </c>
      <c r="C266" s="1230" t="s">
        <v>1542</v>
      </c>
      <c r="D266" s="1231">
        <v>-28027</v>
      </c>
      <c r="E266" s="1230" t="s">
        <v>595</v>
      </c>
      <c r="F266" s="1230"/>
      <c r="G266" s="1230"/>
    </row>
    <row r="267" spans="1:9" ht="15">
      <c r="A267" s="1229"/>
      <c r="B267" s="1230"/>
      <c r="C267" s="1230" t="s">
        <v>1543</v>
      </c>
      <c r="D267" s="1231">
        <v>-13134</v>
      </c>
      <c r="E267" s="1230" t="s">
        <v>186</v>
      </c>
      <c r="F267" s="1230"/>
      <c r="G267" s="1230"/>
    </row>
    <row r="268" spans="1:9" ht="15">
      <c r="A268" s="1229"/>
      <c r="B268" s="1230"/>
      <c r="C268" s="1230"/>
      <c r="D268" s="1231"/>
      <c r="E268" s="1230"/>
      <c r="F268" s="1230"/>
      <c r="G268" s="1230"/>
    </row>
    <row r="269" spans="1:9" ht="15">
      <c r="A269" s="1229"/>
      <c r="B269" s="1230" t="s">
        <v>394</v>
      </c>
      <c r="C269" s="1230" t="s">
        <v>1544</v>
      </c>
      <c r="D269" s="1231">
        <v>1440</v>
      </c>
      <c r="E269" s="1230" t="s">
        <v>595</v>
      </c>
      <c r="F269" s="1230"/>
      <c r="G269" s="1230"/>
    </row>
    <row r="270" spans="1:9" ht="15">
      <c r="A270" s="1229"/>
      <c r="B270" s="1230"/>
      <c r="C270" s="1230"/>
      <c r="D270" s="1231"/>
      <c r="E270" s="1230"/>
      <c r="F270" s="1232">
        <v>-77301</v>
      </c>
      <c r="G270" s="1229" t="s">
        <v>1539</v>
      </c>
      <c r="H270" t="s">
        <v>1615</v>
      </c>
    </row>
    <row r="271" spans="1:9" ht="15">
      <c r="A271" s="1229"/>
      <c r="B271" s="1230"/>
      <c r="C271" s="1230"/>
      <c r="D271" s="1231"/>
      <c r="E271" s="1230"/>
      <c r="F271" s="1229"/>
      <c r="G271" s="1229"/>
      <c r="I271" t="s">
        <v>1910</v>
      </c>
    </row>
    <row r="272" spans="1:9" s="1234" customFormat="1" ht="15">
      <c r="A272" s="2002" t="s">
        <v>1545</v>
      </c>
      <c r="B272" s="2003" t="s">
        <v>808</v>
      </c>
      <c r="C272" s="2003" t="s">
        <v>1542</v>
      </c>
      <c r="D272" s="2004">
        <v>28027</v>
      </c>
      <c r="E272" s="2003" t="s">
        <v>595</v>
      </c>
      <c r="F272" s="2002"/>
      <c r="G272" s="2002"/>
      <c r="H272" s="1234" t="s">
        <v>1881</v>
      </c>
      <c r="I272" s="1234" t="s">
        <v>1909</v>
      </c>
    </row>
    <row r="273" spans="1:10" s="1234" customFormat="1" ht="15">
      <c r="A273" s="2002"/>
      <c r="B273" s="2003"/>
      <c r="C273" s="2003" t="s">
        <v>1543</v>
      </c>
      <c r="D273" s="2004">
        <v>14489</v>
      </c>
      <c r="E273" s="2003" t="s">
        <v>186</v>
      </c>
      <c r="F273" s="2002"/>
      <c r="G273" s="2002"/>
      <c r="H273" s="1234" t="s">
        <v>1877</v>
      </c>
      <c r="J273" s="1234" t="s">
        <v>1911</v>
      </c>
    </row>
    <row r="274" spans="1:10" s="1234" customFormat="1" ht="15">
      <c r="A274" s="2002"/>
      <c r="B274" s="2003"/>
      <c r="C274" s="2003"/>
      <c r="D274" s="2004"/>
      <c r="E274" s="2003"/>
      <c r="F274" s="2002"/>
      <c r="G274" s="2002"/>
    </row>
    <row r="275" spans="1:10" s="1234" customFormat="1" ht="15">
      <c r="A275" s="2002"/>
      <c r="B275" s="2003" t="s">
        <v>1546</v>
      </c>
      <c r="C275" s="2003" t="s">
        <v>1547</v>
      </c>
      <c r="D275" s="2023">
        <v>0</v>
      </c>
      <c r="E275" s="2003" t="s">
        <v>595</v>
      </c>
      <c r="F275" s="2002"/>
      <c r="G275" s="2002"/>
      <c r="H275" s="1234" t="s">
        <v>1923</v>
      </c>
    </row>
    <row r="276" spans="1:10" s="1234" customFormat="1" ht="15">
      <c r="A276" s="2002"/>
      <c r="B276" s="2003"/>
      <c r="C276" s="2003" t="s">
        <v>434</v>
      </c>
      <c r="D276" s="2004">
        <v>0</v>
      </c>
      <c r="E276" s="2003" t="s">
        <v>595</v>
      </c>
      <c r="F276" s="2002"/>
      <c r="G276" s="2002"/>
    </row>
    <row r="277" spans="1:10" s="1234" customFormat="1" ht="15">
      <c r="A277" s="2002"/>
      <c r="B277" s="2003"/>
      <c r="C277" s="2003"/>
      <c r="D277" s="2004"/>
      <c r="E277" s="2003"/>
      <c r="F277" s="2002"/>
      <c r="G277" s="2002"/>
    </row>
    <row r="278" spans="1:10" s="1234" customFormat="1" ht="15">
      <c r="A278" s="2002"/>
      <c r="B278" s="2003"/>
      <c r="C278" s="2003" t="s">
        <v>1878</v>
      </c>
      <c r="D278" s="2004">
        <v>960</v>
      </c>
      <c r="E278" s="2003" t="s">
        <v>595</v>
      </c>
      <c r="F278" s="2002"/>
      <c r="G278" s="2002"/>
    </row>
    <row r="279" spans="1:10" s="1234" customFormat="1" ht="15">
      <c r="A279" s="2002"/>
      <c r="B279" s="2003"/>
      <c r="C279" s="2003" t="s">
        <v>1879</v>
      </c>
      <c r="D279" s="2004">
        <v>1440</v>
      </c>
      <c r="E279" s="2003" t="s">
        <v>595</v>
      </c>
      <c r="F279" s="2002"/>
      <c r="G279" s="2002"/>
    </row>
    <row r="280" spans="1:10" s="1234" customFormat="1" ht="15">
      <c r="A280" s="2002"/>
      <c r="B280" s="2003"/>
      <c r="C280" s="2003" t="s">
        <v>1880</v>
      </c>
      <c r="D280" s="2004">
        <v>0</v>
      </c>
      <c r="E280" s="2003" t="s">
        <v>595</v>
      </c>
      <c r="F280" s="2005">
        <v>44916</v>
      </c>
      <c r="G280" s="2002" t="s">
        <v>1545</v>
      </c>
      <c r="H280" s="2006"/>
    </row>
    <row r="281" spans="1:10" s="1234" customFormat="1" ht="15">
      <c r="A281" s="2002"/>
      <c r="B281" s="2003"/>
      <c r="C281" s="2003"/>
      <c r="D281" s="2004"/>
      <c r="E281" s="2003"/>
      <c r="F281" s="2005"/>
      <c r="G281" s="2002"/>
    </row>
    <row r="282" spans="1:10" s="1234" customFormat="1" ht="15">
      <c r="A282" s="2002"/>
      <c r="B282" s="2003"/>
      <c r="C282" s="2003"/>
      <c r="D282" s="2004"/>
      <c r="E282" s="2003"/>
      <c r="F282" s="2005"/>
      <c r="G282" s="2002"/>
    </row>
    <row r="283" spans="1:10" s="1234" customFormat="1" ht="15">
      <c r="A283" s="2002"/>
      <c r="B283" s="2003"/>
      <c r="C283" s="2003"/>
      <c r="D283" s="2004"/>
      <c r="E283" s="2003"/>
      <c r="F283" s="2002"/>
      <c r="G283" s="2002"/>
    </row>
    <row r="284" spans="1:10" ht="15">
      <c r="A284" s="1229" t="s">
        <v>1548</v>
      </c>
      <c r="B284" s="1230" t="s">
        <v>393</v>
      </c>
      <c r="C284" s="1230" t="s">
        <v>1541</v>
      </c>
      <c r="D284" s="1231">
        <v>85000</v>
      </c>
      <c r="E284" s="1230" t="s">
        <v>595</v>
      </c>
      <c r="F284" s="1229"/>
      <c r="G284" s="1229"/>
    </row>
    <row r="285" spans="1:10" ht="15">
      <c r="A285" s="1229"/>
      <c r="B285" s="1230"/>
      <c r="C285" s="1230" t="s">
        <v>1549</v>
      </c>
      <c r="D285" s="1231">
        <v>51000</v>
      </c>
      <c r="E285" s="1230" t="s">
        <v>595</v>
      </c>
      <c r="F285" s="1229"/>
      <c r="G285" s="1229"/>
    </row>
    <row r="286" spans="1:10" ht="15">
      <c r="A286" s="1229"/>
      <c r="B286" s="1230"/>
      <c r="C286" s="1230"/>
      <c r="D286" s="1231"/>
      <c r="E286" s="1230"/>
      <c r="F286" s="1232">
        <v>136000</v>
      </c>
      <c r="G286" s="1229" t="s">
        <v>1548</v>
      </c>
    </row>
    <row r="287" spans="1:10" ht="15">
      <c r="A287" s="1229"/>
      <c r="B287" s="1230"/>
      <c r="C287" s="1230"/>
      <c r="D287" s="1231"/>
      <c r="E287" s="1230"/>
      <c r="F287" s="1229"/>
      <c r="G287" s="1229"/>
    </row>
    <row r="288" spans="1:10" ht="15">
      <c r="A288" s="1229" t="s">
        <v>1550</v>
      </c>
      <c r="B288" s="1230" t="s">
        <v>394</v>
      </c>
      <c r="C288" s="1230" t="s">
        <v>1547</v>
      </c>
      <c r="D288" s="1231">
        <v>115000</v>
      </c>
      <c r="E288" s="1230" t="s">
        <v>595</v>
      </c>
      <c r="F288" s="1229"/>
      <c r="G288" s="1229"/>
    </row>
    <row r="289" spans="1:7" ht="15">
      <c r="A289" s="1229"/>
      <c r="B289" s="1230"/>
      <c r="C289" s="1230"/>
      <c r="D289" s="1231"/>
      <c r="E289" s="1230"/>
      <c r="F289" s="1232">
        <v>115000</v>
      </c>
      <c r="G289" s="1229" t="s">
        <v>1550</v>
      </c>
    </row>
    <row r="291" spans="1:7">
      <c r="A291" s="1528" t="s">
        <v>1655</v>
      </c>
    </row>
    <row r="295" spans="1:7" ht="21" thickBot="1">
      <c r="A295" s="1906" t="s">
        <v>1679</v>
      </c>
    </row>
    <row r="296" spans="1:7" ht="30.75" thickBot="1">
      <c r="A296" s="425" t="s">
        <v>185</v>
      </c>
      <c r="B296" s="426" t="s">
        <v>186</v>
      </c>
      <c r="C296" s="426" t="s">
        <v>595</v>
      </c>
    </row>
    <row r="297" spans="1:7" ht="29.25" thickBot="1">
      <c r="A297" s="427" t="s">
        <v>187</v>
      </c>
      <c r="B297" s="428">
        <v>210788</v>
      </c>
      <c r="C297" s="428">
        <v>316095</v>
      </c>
    </row>
    <row r="298" spans="1:7" ht="29.25" thickBot="1">
      <c r="A298" s="427" t="s">
        <v>188</v>
      </c>
      <c r="B298" s="428">
        <v>474257</v>
      </c>
      <c r="C298" s="428">
        <v>706666</v>
      </c>
    </row>
    <row r="299" spans="1:7" ht="29.25" thickBot="1">
      <c r="A299" s="427" t="s">
        <v>189</v>
      </c>
      <c r="B299" s="428">
        <v>367605</v>
      </c>
      <c r="C299" s="428">
        <v>539998</v>
      </c>
    </row>
    <row r="300" spans="1:7" ht="29.25" thickBot="1">
      <c r="A300" s="427" t="s">
        <v>622</v>
      </c>
      <c r="B300" s="428">
        <v>15476</v>
      </c>
      <c r="C300" s="428">
        <v>24929</v>
      </c>
    </row>
    <row r="301" spans="1:7" ht="15.75" thickBot="1">
      <c r="A301" s="1903" t="s">
        <v>625</v>
      </c>
      <c r="B301" s="1904">
        <v>1068126</v>
      </c>
      <c r="C301" s="1905">
        <v>1587688</v>
      </c>
    </row>
  </sheetData>
  <mergeCells count="14">
    <mergeCell ref="E2:E3"/>
    <mergeCell ref="A2:A3"/>
    <mergeCell ref="B2:B3"/>
    <mergeCell ref="D2:D3"/>
    <mergeCell ref="A38:A39"/>
    <mergeCell ref="B38:B39"/>
    <mergeCell ref="D38:D39"/>
    <mergeCell ref="E38:E39"/>
    <mergeCell ref="H67:H68"/>
    <mergeCell ref="K67:K68"/>
    <mergeCell ref="L67:L68"/>
    <mergeCell ref="A66:F66"/>
    <mergeCell ref="Y66:Z66"/>
    <mergeCell ref="N66:O66"/>
  </mergeCells>
  <phoneticPr fontId="12" type="noConversion"/>
  <pageMargins left="0.75" right="0.75" top="1" bottom="1" header="0.5" footer="0.5"/>
  <pageSetup scale="70" orientation="portrait" r:id="rId1"/>
  <headerFooter alignWithMargins="0"/>
  <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V40"/>
  <sheetViews>
    <sheetView workbookViewId="0"/>
  </sheetViews>
  <sheetFormatPr defaultColWidth="8.7109375" defaultRowHeight="12.75"/>
  <cols>
    <col min="3" max="3" width="12.28515625" bestFit="1" customWidth="1"/>
    <col min="5" max="5" width="10.7109375" customWidth="1"/>
    <col min="7" max="7" width="12.28515625" bestFit="1" customWidth="1"/>
    <col min="8" max="8" width="2.7109375" customWidth="1"/>
    <col min="9" max="9" width="12.28515625" customWidth="1"/>
    <col min="10" max="10" width="2.28515625" customWidth="1"/>
    <col min="11" max="11" width="12.28515625" customWidth="1"/>
    <col min="12" max="12" width="2.28515625" customWidth="1"/>
    <col min="13" max="13" width="29.42578125" bestFit="1" customWidth="1"/>
    <col min="14" max="14" width="26.28515625" bestFit="1" customWidth="1"/>
    <col min="15" max="15" width="12.42578125" bestFit="1" customWidth="1"/>
    <col min="16" max="16" width="11.42578125" bestFit="1" customWidth="1"/>
    <col min="17" max="21" width="11.42578125" customWidth="1"/>
  </cols>
  <sheetData>
    <row r="1" spans="1:14">
      <c r="A1" s="71" t="s">
        <v>51</v>
      </c>
    </row>
    <row r="2" spans="1:14" ht="13.5" thickBot="1">
      <c r="C2" s="491" t="s">
        <v>63</v>
      </c>
      <c r="E2" s="279" t="s">
        <v>709</v>
      </c>
      <c r="G2" s="93" t="s">
        <v>894</v>
      </c>
      <c r="H2" s="774"/>
      <c r="I2" s="855" t="s">
        <v>19</v>
      </c>
      <c r="J2" s="853"/>
      <c r="K2" s="858" t="s">
        <v>816</v>
      </c>
      <c r="L2" s="1000"/>
      <c r="M2" s="93" t="s">
        <v>927</v>
      </c>
      <c r="N2" s="71" t="s">
        <v>1306</v>
      </c>
    </row>
    <row r="3" spans="1:14" ht="15">
      <c r="A3" s="249" t="s">
        <v>54</v>
      </c>
      <c r="B3" s="71" t="s">
        <v>52</v>
      </c>
      <c r="C3" s="180">
        <v>84000</v>
      </c>
      <c r="E3" s="180" t="e">
        <f>+'[47]11-12'!$G$17</f>
        <v>#REF!</v>
      </c>
      <c r="G3" s="180">
        <v>88250</v>
      </c>
      <c r="H3" s="180"/>
      <c r="I3" s="856">
        <v>90989</v>
      </c>
      <c r="J3" s="791"/>
      <c r="K3" s="861">
        <v>93625</v>
      </c>
      <c r="L3" s="861"/>
      <c r="M3" s="180">
        <v>99327</v>
      </c>
    </row>
    <row r="4" spans="1:14" ht="15">
      <c r="A4" s="249"/>
      <c r="B4" s="71" t="s">
        <v>53</v>
      </c>
      <c r="C4" s="180">
        <v>10000</v>
      </c>
      <c r="E4" s="180" t="e">
        <f>+'[47]11-12'!$G$11</f>
        <v>#REF!</v>
      </c>
      <c r="G4" s="180">
        <v>10000</v>
      </c>
      <c r="H4" s="180"/>
      <c r="I4" s="856">
        <v>10000</v>
      </c>
      <c r="J4" s="791"/>
      <c r="K4" s="861">
        <v>10000</v>
      </c>
      <c r="L4" s="861"/>
      <c r="M4" s="180">
        <v>10000</v>
      </c>
    </row>
    <row r="5" spans="1:14" ht="15">
      <c r="A5" s="249" t="s">
        <v>55</v>
      </c>
      <c r="C5" s="180">
        <v>30000</v>
      </c>
      <c r="E5" s="180"/>
      <c r="G5" s="180">
        <v>30000</v>
      </c>
      <c r="H5" s="180"/>
      <c r="I5" s="856">
        <v>30000</v>
      </c>
      <c r="J5" s="791"/>
      <c r="K5" s="775">
        <v>30000</v>
      </c>
      <c r="L5" s="775"/>
      <c r="M5" s="180">
        <v>30000</v>
      </c>
    </row>
    <row r="6" spans="1:14" ht="15">
      <c r="A6" s="249" t="s">
        <v>56</v>
      </c>
      <c r="C6" s="180">
        <v>15000</v>
      </c>
      <c r="E6" s="180" t="e">
        <f>+'[47]11-12'!$G$20</f>
        <v>#REF!</v>
      </c>
      <c r="G6" s="180">
        <v>15040</v>
      </c>
      <c r="H6" s="180"/>
      <c r="I6" s="856">
        <v>16126</v>
      </c>
      <c r="J6" s="791"/>
      <c r="K6" s="775">
        <v>18506</v>
      </c>
      <c r="L6" s="775"/>
      <c r="M6" s="180">
        <v>19227</v>
      </c>
    </row>
    <row r="7" spans="1:14" ht="15">
      <c r="A7" s="249" t="s">
        <v>57</v>
      </c>
      <c r="C7" s="180">
        <v>309000</v>
      </c>
      <c r="E7" s="180" t="e">
        <f>+'[47]11-12'!$G$5</f>
        <v>#REF!</v>
      </c>
      <c r="G7" s="180">
        <v>351561</v>
      </c>
      <c r="H7" s="180"/>
      <c r="I7" s="857">
        <v>365000</v>
      </c>
      <c r="J7" s="790"/>
      <c r="K7" s="861">
        <v>375950</v>
      </c>
      <c r="L7" s="861"/>
      <c r="M7" s="180">
        <v>360500</v>
      </c>
    </row>
    <row r="8" spans="1:14" ht="15">
      <c r="A8" s="249" t="s">
        <v>58</v>
      </c>
      <c r="C8" s="180">
        <v>223000</v>
      </c>
      <c r="E8" s="180" t="e">
        <f>+'[47]11-12'!$G$4</f>
        <v>#REF!</v>
      </c>
      <c r="G8" s="180">
        <v>241414</v>
      </c>
      <c r="H8" s="180"/>
      <c r="I8" s="857">
        <f>241000+7230+482</f>
        <v>248712</v>
      </c>
      <c r="J8" s="790"/>
      <c r="K8" s="861">
        <v>248230</v>
      </c>
      <c r="L8" s="861"/>
      <c r="M8" s="180">
        <v>242355</v>
      </c>
    </row>
    <row r="9" spans="1:14" ht="15">
      <c r="A9" s="249" t="s">
        <v>59</v>
      </c>
      <c r="C9" s="180">
        <v>285000</v>
      </c>
      <c r="E9" s="180" t="e">
        <f>+'[47]11-12'!$G$16</f>
        <v>#REF!</v>
      </c>
      <c r="G9" s="180">
        <v>261491</v>
      </c>
      <c r="H9" s="180"/>
      <c r="I9" s="857">
        <v>278000</v>
      </c>
      <c r="J9" s="790"/>
      <c r="K9" s="861">
        <v>342155</v>
      </c>
      <c r="L9" s="861"/>
      <c r="M9" s="180">
        <v>334647</v>
      </c>
    </row>
    <row r="10" spans="1:14" ht="15">
      <c r="A10" s="249" t="s">
        <v>1040</v>
      </c>
      <c r="C10" s="180"/>
      <c r="E10" s="180"/>
      <c r="G10" s="180"/>
      <c r="H10" s="180"/>
      <c r="I10" s="857"/>
      <c r="J10" s="790"/>
      <c r="K10" s="861">
        <v>25552</v>
      </c>
      <c r="L10" s="861"/>
      <c r="M10" s="180">
        <v>15450</v>
      </c>
    </row>
    <row r="11" spans="1:14" ht="15">
      <c r="A11" s="249" t="s">
        <v>60</v>
      </c>
      <c r="C11" s="180">
        <v>55000</v>
      </c>
      <c r="E11" s="180" t="e">
        <f>+'[47]11-12'!$G$12</f>
        <v>#REF!</v>
      </c>
      <c r="G11" s="180">
        <v>65000</v>
      </c>
      <c r="H11" s="180"/>
      <c r="I11" s="857">
        <v>60000</v>
      </c>
      <c r="J11" s="790"/>
      <c r="K11" s="861">
        <v>60000</v>
      </c>
      <c r="L11" s="861"/>
      <c r="M11" s="180">
        <v>60000</v>
      </c>
    </row>
    <row r="12" spans="1:14" ht="15">
      <c r="A12" s="249" t="s">
        <v>61</v>
      </c>
      <c r="C12" s="180">
        <v>52000</v>
      </c>
      <c r="E12" s="180" t="e">
        <f>+'[47]11-12'!$G$8</f>
        <v>#REF!</v>
      </c>
      <c r="G12" s="180">
        <v>44000</v>
      </c>
      <c r="H12" s="180"/>
      <c r="I12" s="857">
        <v>39087.54</v>
      </c>
      <c r="J12" s="790"/>
      <c r="K12" s="861">
        <v>44969</v>
      </c>
      <c r="L12" s="861"/>
      <c r="M12" s="180">
        <v>38657</v>
      </c>
    </row>
    <row r="13" spans="1:14" ht="15">
      <c r="A13" s="249" t="s">
        <v>62</v>
      </c>
      <c r="C13" s="180">
        <v>16000</v>
      </c>
      <c r="E13" s="180" t="e">
        <f>+'[47]11-12'!$G$9</f>
        <v>#REF!</v>
      </c>
      <c r="G13" s="180">
        <v>15161</v>
      </c>
      <c r="H13" s="180"/>
      <c r="I13" s="857">
        <v>0</v>
      </c>
      <c r="J13" s="790"/>
      <c r="K13" s="180"/>
      <c r="L13" s="180"/>
      <c r="M13" s="180">
        <v>0</v>
      </c>
    </row>
    <row r="14" spans="1:14" ht="15">
      <c r="A14" s="249" t="s">
        <v>713</v>
      </c>
      <c r="E14" s="180" t="e">
        <f>+'[47]11-12'!$G$10</f>
        <v>#REF!</v>
      </c>
      <c r="G14" s="180">
        <v>3980</v>
      </c>
      <c r="H14" s="180"/>
      <c r="I14" s="857">
        <v>0</v>
      </c>
      <c r="J14" s="790"/>
      <c r="K14" s="606" t="s">
        <v>1174</v>
      </c>
      <c r="L14" s="606"/>
      <c r="M14" s="180"/>
    </row>
    <row r="15" spans="1:14" ht="15">
      <c r="A15" s="249" t="s">
        <v>714</v>
      </c>
      <c r="E15" s="180" t="e">
        <f>+'[47]11-12'!$G$7</f>
        <v>#REF!</v>
      </c>
      <c r="G15" s="180">
        <v>13826</v>
      </c>
      <c r="H15" s="180"/>
      <c r="I15" s="857">
        <v>14241</v>
      </c>
      <c r="J15" s="790"/>
      <c r="K15" s="861">
        <v>10058</v>
      </c>
      <c r="L15" s="861"/>
      <c r="M15" s="180">
        <v>10110</v>
      </c>
    </row>
    <row r="16" spans="1:14" ht="15">
      <c r="A16" s="249"/>
      <c r="E16" s="180"/>
      <c r="G16" s="180"/>
      <c r="H16" s="180"/>
      <c r="I16" s="71"/>
      <c r="K16" s="180"/>
      <c r="L16" s="180"/>
      <c r="M16" s="180"/>
    </row>
    <row r="17" spans="1:22">
      <c r="C17" s="279"/>
      <c r="D17" s="71" t="s">
        <v>68</v>
      </c>
      <c r="E17" s="279"/>
      <c r="G17" s="244"/>
      <c r="H17" s="253"/>
      <c r="I17" s="839"/>
      <c r="J17" s="253"/>
      <c r="K17" s="862" t="s">
        <v>1039</v>
      </c>
      <c r="L17" s="1001"/>
      <c r="M17" s="244"/>
    </row>
    <row r="18" spans="1:22">
      <c r="C18" s="245">
        <f>SUM(C3:C17)</f>
        <v>1079000</v>
      </c>
      <c r="E18" s="245" t="e">
        <f>SUM(E3:E17)</f>
        <v>#REF!</v>
      </c>
      <c r="G18" s="180">
        <f>SUM(G3:G17)</f>
        <v>1139723</v>
      </c>
      <c r="H18" s="180"/>
      <c r="I18" s="606">
        <f>SUM(I3:I17)</f>
        <v>1152155.54</v>
      </c>
      <c r="J18" s="775"/>
      <c r="K18" s="606">
        <f>SUM(K3:K17)</f>
        <v>1259045</v>
      </c>
      <c r="L18" s="606"/>
      <c r="M18" s="606">
        <f>SUM(M3:M17)</f>
        <v>1220273</v>
      </c>
    </row>
    <row r="21" spans="1:22">
      <c r="A21" s="71" t="s">
        <v>64</v>
      </c>
      <c r="M21" t="s">
        <v>736</v>
      </c>
    </row>
    <row r="22" spans="1:22" ht="13.5" thickBot="1">
      <c r="C22" s="491" t="s">
        <v>63</v>
      </c>
      <c r="E22" s="279" t="s">
        <v>709</v>
      </c>
      <c r="G22" s="93" t="s">
        <v>894</v>
      </c>
      <c r="H22" s="774"/>
      <c r="I22" s="324" t="s">
        <v>953</v>
      </c>
      <c r="J22" s="854"/>
      <c r="K22" s="858" t="s">
        <v>1032</v>
      </c>
      <c r="L22" s="1000"/>
    </row>
    <row r="23" spans="1:22">
      <c r="A23" s="71" t="s">
        <v>65</v>
      </c>
      <c r="C23" s="180">
        <v>30000</v>
      </c>
      <c r="E23" s="180"/>
      <c r="M23" s="604" t="s">
        <v>722</v>
      </c>
      <c r="N23" s="604" t="s">
        <v>210</v>
      </c>
      <c r="O23" s="604" t="s">
        <v>737</v>
      </c>
      <c r="P23" s="279" t="s">
        <v>728</v>
      </c>
      <c r="Q23" s="279" t="s">
        <v>895</v>
      </c>
      <c r="R23" s="279" t="s">
        <v>975</v>
      </c>
      <c r="S23" s="937" t="s">
        <v>1031</v>
      </c>
      <c r="T23" s="1031" t="s">
        <v>1122</v>
      </c>
      <c r="U23" s="886" t="s">
        <v>1222</v>
      </c>
      <c r="V23" s="279" t="s">
        <v>729</v>
      </c>
    </row>
    <row r="24" spans="1:22">
      <c r="A24" s="71" t="s">
        <v>66</v>
      </c>
      <c r="C24" s="180">
        <v>80000</v>
      </c>
      <c r="E24" s="180"/>
      <c r="M24" t="s">
        <v>715</v>
      </c>
      <c r="N24" s="71" t="s">
        <v>723</v>
      </c>
      <c r="O24" s="606">
        <f>22876.78+22876.78</f>
        <v>45753.56</v>
      </c>
      <c r="P24" s="180">
        <v>52000</v>
      </c>
      <c r="Q24" s="180">
        <v>52000</v>
      </c>
      <c r="R24" s="180">
        <v>56000</v>
      </c>
      <c r="S24" s="882">
        <f>ROUND(+Q24*1.03,-3)</f>
        <v>54000</v>
      </c>
      <c r="T24" s="882">
        <f>ROUND(+R24*1.03,-3)</f>
        <v>58000</v>
      </c>
      <c r="U24" s="882">
        <f>+T24*1.1</f>
        <v>63800.000000000007</v>
      </c>
      <c r="V24" t="s">
        <v>738</v>
      </c>
    </row>
    <row r="25" spans="1:22">
      <c r="A25" s="71" t="s">
        <v>67</v>
      </c>
      <c r="C25" s="180">
        <v>80000</v>
      </c>
      <c r="E25" s="180"/>
      <c r="M25" t="s">
        <v>716</v>
      </c>
      <c r="N25" t="s">
        <v>739</v>
      </c>
      <c r="O25" s="180"/>
      <c r="P25" s="180">
        <v>12000</v>
      </c>
      <c r="Q25" s="180">
        <v>12000</v>
      </c>
      <c r="R25" s="180">
        <v>12000</v>
      </c>
      <c r="S25" s="882">
        <v>0</v>
      </c>
      <c r="T25" s="882">
        <v>0</v>
      </c>
      <c r="U25" s="882"/>
      <c r="V25" t="s">
        <v>743</v>
      </c>
    </row>
    <row r="26" spans="1:22">
      <c r="A26" s="71" t="s">
        <v>576</v>
      </c>
      <c r="C26" s="244">
        <v>10000</v>
      </c>
      <c r="E26" s="244"/>
      <c r="M26" s="71" t="s">
        <v>717</v>
      </c>
      <c r="N26" t="s">
        <v>740</v>
      </c>
      <c r="O26" s="180">
        <f>1708.33+8438.11</f>
        <v>10146.44</v>
      </c>
      <c r="P26" s="180">
        <v>50000</v>
      </c>
      <c r="Q26" s="180">
        <v>100000</v>
      </c>
      <c r="R26" s="180">
        <v>150000</v>
      </c>
      <c r="S26" s="883">
        <v>30000</v>
      </c>
      <c r="T26" s="883">
        <v>30000</v>
      </c>
      <c r="U26" s="883">
        <v>40000</v>
      </c>
      <c r="V26" s="71" t="s">
        <v>954</v>
      </c>
    </row>
    <row r="27" spans="1:22">
      <c r="C27" s="245">
        <f>SUM(C23:C26)</f>
        <v>200000</v>
      </c>
      <c r="E27" s="245">
        <f>ROUND(P40,-3)</f>
        <v>200000</v>
      </c>
      <c r="G27" s="180"/>
      <c r="H27" s="180"/>
      <c r="I27" s="606"/>
      <c r="J27" s="180"/>
      <c r="K27" s="180"/>
      <c r="L27" s="180"/>
      <c r="M27" s="71" t="s">
        <v>718</v>
      </c>
      <c r="N27" t="s">
        <v>741</v>
      </c>
      <c r="O27" s="180">
        <f>1072.46+3909.19+588</f>
        <v>5569.65</v>
      </c>
      <c r="P27" s="180">
        <v>10000</v>
      </c>
      <c r="Q27" s="180">
        <v>10000</v>
      </c>
      <c r="R27" s="180">
        <v>10000</v>
      </c>
      <c r="S27" s="883">
        <v>10000</v>
      </c>
      <c r="T27" s="883">
        <v>10000</v>
      </c>
      <c r="U27" s="883">
        <v>10000</v>
      </c>
      <c r="V27" t="s">
        <v>731</v>
      </c>
    </row>
    <row r="28" spans="1:22">
      <c r="I28" s="71"/>
      <c r="K28" s="652"/>
      <c r="L28" s="652"/>
      <c r="M28" s="71" t="s">
        <v>742</v>
      </c>
      <c r="N28" t="s">
        <v>739</v>
      </c>
      <c r="O28" s="180">
        <f>65855.15-O34</f>
        <v>65118.329999999994</v>
      </c>
      <c r="P28" s="180">
        <v>48000</v>
      </c>
      <c r="Q28" s="180">
        <v>48000</v>
      </c>
      <c r="R28" s="180">
        <v>48000</v>
      </c>
      <c r="S28" s="883">
        <v>12000</v>
      </c>
      <c r="T28" s="883">
        <v>12000</v>
      </c>
      <c r="U28" s="883"/>
      <c r="V28" t="s">
        <v>743</v>
      </c>
    </row>
    <row r="29" spans="1:22">
      <c r="A29" s="71" t="s">
        <v>69</v>
      </c>
      <c r="C29" s="71" t="s">
        <v>71</v>
      </c>
      <c r="E29" s="180">
        <v>200000</v>
      </c>
      <c r="G29" s="180">
        <v>200000</v>
      </c>
      <c r="H29" s="180"/>
      <c r="I29" s="606">
        <v>400000</v>
      </c>
      <c r="J29" s="775"/>
      <c r="K29" s="859"/>
      <c r="L29" s="859"/>
      <c r="M29" s="71" t="s">
        <v>719</v>
      </c>
      <c r="N29" s="71" t="s">
        <v>724</v>
      </c>
      <c r="O29" s="606">
        <v>30000</v>
      </c>
      <c r="P29" s="180">
        <v>22500</v>
      </c>
      <c r="Q29" s="180">
        <v>0</v>
      </c>
      <c r="R29" s="180">
        <v>0</v>
      </c>
      <c r="S29" s="883">
        <v>0</v>
      </c>
      <c r="T29" s="883">
        <v>0</v>
      </c>
      <c r="U29" s="883"/>
      <c r="V29" t="s">
        <v>732</v>
      </c>
    </row>
    <row r="30" spans="1:22">
      <c r="I30" s="71"/>
      <c r="K30" s="652"/>
      <c r="L30" s="652"/>
      <c r="M30" s="71" t="s">
        <v>721</v>
      </c>
      <c r="N30" t="s">
        <v>744</v>
      </c>
      <c r="O30" s="180">
        <f>2189.94+324.44+9715.74+2012.62+13853.51+1176.89+2007.98+7414.63+3309.29+2451.73</f>
        <v>44456.770000000004</v>
      </c>
      <c r="P30" s="180">
        <v>50000</v>
      </c>
      <c r="Q30" s="180">
        <v>50000</v>
      </c>
      <c r="R30" s="180">
        <v>50000</v>
      </c>
      <c r="S30" s="883">
        <v>50000</v>
      </c>
      <c r="T30" s="883">
        <v>50000</v>
      </c>
      <c r="U30" s="883"/>
      <c r="V30" t="s">
        <v>732</v>
      </c>
    </row>
    <row r="31" spans="1:22">
      <c r="A31" s="71"/>
      <c r="I31" s="71"/>
      <c r="K31" s="652"/>
      <c r="L31" s="652"/>
      <c r="M31" s="71" t="s">
        <v>720</v>
      </c>
      <c r="N31" t="s">
        <v>745</v>
      </c>
      <c r="O31" s="180">
        <f>1318.5+3779+5132+2071.5+616+176+88+132</f>
        <v>13313</v>
      </c>
      <c r="P31" s="180">
        <v>5000</v>
      </c>
      <c r="Q31" s="180"/>
      <c r="R31" s="180"/>
      <c r="S31" s="883">
        <v>0</v>
      </c>
      <c r="T31" s="883">
        <v>0</v>
      </c>
      <c r="U31" s="883"/>
      <c r="V31" t="s">
        <v>732</v>
      </c>
    </row>
    <row r="32" spans="1:22">
      <c r="A32" s="71" t="s">
        <v>576</v>
      </c>
      <c r="I32" s="71"/>
      <c r="K32" s="652"/>
      <c r="L32" s="652"/>
      <c r="M32" s="71" t="s">
        <v>730</v>
      </c>
      <c r="N32" t="s">
        <v>746</v>
      </c>
      <c r="O32" s="180">
        <f>18570+15424.96+1524.34</f>
        <v>35519.299999999996</v>
      </c>
      <c r="P32" s="180">
        <v>75000</v>
      </c>
      <c r="Q32" s="180">
        <v>0</v>
      </c>
      <c r="R32" s="180">
        <v>0</v>
      </c>
      <c r="S32" s="882">
        <v>0</v>
      </c>
      <c r="T32" s="882">
        <v>0</v>
      </c>
      <c r="U32" s="882"/>
      <c r="V32" t="s">
        <v>747</v>
      </c>
    </row>
    <row r="33" spans="1:22">
      <c r="A33" s="71" t="s">
        <v>70</v>
      </c>
      <c r="C33" s="180">
        <v>100000</v>
      </c>
      <c r="E33" s="180">
        <v>103780</v>
      </c>
      <c r="I33" s="606">
        <v>90000</v>
      </c>
      <c r="J33" s="775"/>
      <c r="K33" s="860"/>
      <c r="L33" s="860"/>
      <c r="M33" s="71" t="s">
        <v>733</v>
      </c>
      <c r="N33" t="s">
        <v>734</v>
      </c>
      <c r="O33" s="180">
        <f>1181.31+1181.33</f>
        <v>2362.64</v>
      </c>
      <c r="P33" t="s">
        <v>748</v>
      </c>
      <c r="S33" s="876" t="s">
        <v>748</v>
      </c>
      <c r="T33" s="876" t="s">
        <v>748</v>
      </c>
      <c r="U33" s="876"/>
      <c r="V33" t="s">
        <v>735</v>
      </c>
    </row>
    <row r="34" spans="1:22">
      <c r="A34" s="71"/>
      <c r="C34" s="180"/>
      <c r="E34" s="180"/>
      <c r="I34" s="606"/>
      <c r="J34" s="775"/>
      <c r="K34" s="652"/>
      <c r="L34" s="652"/>
      <c r="M34" s="71" t="s">
        <v>749</v>
      </c>
      <c r="N34" t="s">
        <v>750</v>
      </c>
      <c r="O34" s="180">
        <f>18.28+84.79+633.75</f>
        <v>736.82</v>
      </c>
      <c r="P34" t="s">
        <v>751</v>
      </c>
      <c r="Q34" s="180"/>
      <c r="R34" s="180">
        <v>0</v>
      </c>
      <c r="S34" s="882">
        <v>0</v>
      </c>
      <c r="T34" s="882">
        <v>0</v>
      </c>
      <c r="U34" s="882"/>
      <c r="V34" t="s">
        <v>743</v>
      </c>
    </row>
    <row r="35" spans="1:22">
      <c r="C35" s="180"/>
      <c r="E35" s="180"/>
      <c r="I35" s="71"/>
      <c r="K35" s="652"/>
      <c r="L35" s="652"/>
      <c r="M35" s="71" t="s">
        <v>896</v>
      </c>
      <c r="N35" t="s">
        <v>898</v>
      </c>
      <c r="Q35" s="180">
        <v>10000</v>
      </c>
      <c r="R35" s="180">
        <v>0</v>
      </c>
      <c r="S35" s="882">
        <v>0</v>
      </c>
      <c r="T35" s="882">
        <v>0</v>
      </c>
      <c r="U35" s="882"/>
      <c r="V35" t="s">
        <v>897</v>
      </c>
    </row>
    <row r="36" spans="1:22">
      <c r="C36" s="180"/>
      <c r="E36" s="180"/>
      <c r="M36" s="71" t="s">
        <v>748</v>
      </c>
      <c r="N36" t="s">
        <v>976</v>
      </c>
      <c r="R36" s="180">
        <v>50000</v>
      </c>
      <c r="S36" s="882">
        <v>0</v>
      </c>
      <c r="T36" s="882">
        <v>0</v>
      </c>
      <c r="U36" s="882"/>
    </row>
    <row r="37" spans="1:22" ht="15">
      <c r="C37" s="180"/>
      <c r="E37" s="180"/>
      <c r="M37" s="1074" t="s">
        <v>1315</v>
      </c>
      <c r="N37" s="71" t="s">
        <v>1316</v>
      </c>
      <c r="R37" s="180"/>
      <c r="S37" s="882"/>
      <c r="T37" s="882"/>
      <c r="U37" s="882">
        <v>100000</v>
      </c>
      <c r="V37">
        <v>10001</v>
      </c>
    </row>
    <row r="38" spans="1:22" ht="15">
      <c r="C38" s="244"/>
      <c r="E38" s="244"/>
      <c r="M38" s="1074" t="s">
        <v>1317</v>
      </c>
      <c r="N38" s="71" t="s">
        <v>1318</v>
      </c>
      <c r="R38" s="180"/>
      <c r="S38" s="882"/>
      <c r="T38" s="882"/>
      <c r="U38" s="882">
        <v>7000</v>
      </c>
    </row>
    <row r="39" spans="1:22">
      <c r="C39" s="245">
        <f>SUM(C33:C38)</f>
        <v>100000</v>
      </c>
      <c r="E39" s="245">
        <f>SUM(E33:E38)</f>
        <v>103780</v>
      </c>
      <c r="O39" s="71" t="s">
        <v>625</v>
      </c>
      <c r="P39" s="245">
        <f>SUM(P24:P35)-P32</f>
        <v>249500</v>
      </c>
      <c r="Q39" s="245">
        <f>SUM(Q24:Q35)-Q32</f>
        <v>282000</v>
      </c>
      <c r="R39" s="245">
        <f>SUM(R24:R36)-R32</f>
        <v>376000</v>
      </c>
      <c r="S39" s="884">
        <f>SUM(S24:S36)-S32</f>
        <v>156000</v>
      </c>
      <c r="T39" s="884">
        <f>SUM(T24:T36)-T32</f>
        <v>160000</v>
      </c>
      <c r="U39" s="884">
        <f>SUM(U24:U38)</f>
        <v>220800</v>
      </c>
    </row>
    <row r="40" spans="1:22" ht="13.5" thickBot="1">
      <c r="O40" t="s">
        <v>752</v>
      </c>
      <c r="P40" s="245">
        <f t="shared" ref="P40:U40" si="0">+P39-P26</f>
        <v>199500</v>
      </c>
      <c r="Q40" s="245">
        <f t="shared" si="0"/>
        <v>182000</v>
      </c>
      <c r="R40" s="245">
        <f t="shared" si="0"/>
        <v>226000</v>
      </c>
      <c r="S40" s="885">
        <f t="shared" si="0"/>
        <v>126000</v>
      </c>
      <c r="T40" s="885">
        <f t="shared" si="0"/>
        <v>130000</v>
      </c>
      <c r="U40" s="885">
        <f t="shared" si="0"/>
        <v>180800</v>
      </c>
    </row>
  </sheetData>
  <pageMargins left="0.7" right="0.7" top="0.75" bottom="0.75" header="0.3" footer="0.3"/>
  <pageSetup scale="86"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V219"/>
  <sheetViews>
    <sheetView workbookViewId="0">
      <selection activeCell="E68" sqref="E68"/>
    </sheetView>
  </sheetViews>
  <sheetFormatPr defaultColWidth="8.7109375" defaultRowHeight="12.75"/>
  <cols>
    <col min="1" max="1" width="12.42578125" customWidth="1"/>
    <col min="2" max="2" width="12.7109375" bestFit="1" customWidth="1"/>
    <col min="3" max="3" width="15" bestFit="1" customWidth="1"/>
    <col min="4" max="4" width="15.42578125" bestFit="1" customWidth="1"/>
    <col min="5" max="5" width="14.42578125" bestFit="1" customWidth="1"/>
    <col min="6" max="6" width="15" bestFit="1" customWidth="1"/>
    <col min="7" max="7" width="13.42578125" bestFit="1" customWidth="1"/>
    <col min="8" max="8" width="15.28515625" bestFit="1" customWidth="1"/>
    <col min="9" max="10" width="13.42578125" bestFit="1" customWidth="1"/>
    <col min="11" max="11" width="13.7109375" bestFit="1" customWidth="1"/>
    <col min="12" max="14" width="13.28515625" bestFit="1" customWidth="1"/>
    <col min="15" max="16" width="13.42578125" bestFit="1" customWidth="1"/>
    <col min="17" max="19" width="8.85546875" bestFit="1" customWidth="1"/>
    <col min="20" max="20" width="9.7109375" bestFit="1" customWidth="1"/>
  </cols>
  <sheetData>
    <row r="1" spans="1:19" ht="13.5" thickBot="1"/>
    <row r="2" spans="1:19">
      <c r="A2" s="73" t="s">
        <v>32</v>
      </c>
      <c r="B2" s="74"/>
      <c r="C2" s="74"/>
      <c r="D2" s="74"/>
      <c r="E2" s="74"/>
      <c r="F2" s="92"/>
      <c r="G2" s="74"/>
      <c r="H2" s="74"/>
      <c r="I2" s="74"/>
      <c r="J2" s="74"/>
      <c r="K2" s="74"/>
      <c r="L2" s="74"/>
      <c r="M2" s="74"/>
      <c r="N2" s="75"/>
      <c r="O2" s="75"/>
      <c r="P2" s="75"/>
      <c r="Q2" s="75"/>
      <c r="R2" s="75"/>
      <c r="S2" s="75"/>
    </row>
    <row r="3" spans="1:19">
      <c r="A3" s="76"/>
      <c r="B3" s="77"/>
      <c r="C3" s="77"/>
      <c r="D3" s="77"/>
      <c r="E3" s="77"/>
      <c r="F3" s="80"/>
      <c r="G3" s="77"/>
      <c r="H3" s="150"/>
      <c r="I3" s="77"/>
      <c r="J3" s="77"/>
      <c r="K3" s="77"/>
      <c r="L3" s="77"/>
      <c r="M3" s="77"/>
      <c r="N3" s="79"/>
      <c r="O3" s="79"/>
      <c r="P3" s="79"/>
      <c r="Q3" s="79"/>
      <c r="R3" s="79"/>
      <c r="S3" s="79"/>
    </row>
    <row r="4" spans="1:19">
      <c r="A4" s="76" t="s">
        <v>528</v>
      </c>
      <c r="B4" s="77"/>
      <c r="C4" s="177" t="s">
        <v>529</v>
      </c>
      <c r="D4" s="152" t="s">
        <v>530</v>
      </c>
      <c r="E4" s="152" t="s">
        <v>531</v>
      </c>
      <c r="F4" s="116" t="s">
        <v>532</v>
      </c>
      <c r="G4" s="192" t="s">
        <v>495</v>
      </c>
      <c r="H4" s="202" t="s">
        <v>409</v>
      </c>
      <c r="I4" s="252" t="s">
        <v>420</v>
      </c>
      <c r="J4" s="288" t="s">
        <v>333</v>
      </c>
      <c r="K4" s="508" t="s">
        <v>281</v>
      </c>
      <c r="L4" s="252" t="s">
        <v>233</v>
      </c>
      <c r="M4" s="761" t="s">
        <v>16</v>
      </c>
      <c r="N4" s="513" t="s">
        <v>817</v>
      </c>
      <c r="O4" s="513" t="s">
        <v>926</v>
      </c>
      <c r="P4" s="513" t="s">
        <v>997</v>
      </c>
      <c r="Q4" s="513" t="s">
        <v>1012</v>
      </c>
      <c r="R4" s="513" t="s">
        <v>1181</v>
      </c>
      <c r="S4" s="513" t="s">
        <v>1481</v>
      </c>
    </row>
    <row r="5" spans="1:19">
      <c r="A5" s="76" t="s">
        <v>533</v>
      </c>
      <c r="B5" s="77"/>
      <c r="C5" s="153">
        <v>19844.52</v>
      </c>
      <c r="D5" s="178">
        <v>19387.16</v>
      </c>
      <c r="E5" s="179">
        <v>19158.384783361147</v>
      </c>
      <c r="F5" s="179">
        <v>19260.294437595032</v>
      </c>
      <c r="G5" s="179">
        <v>23099.697668507702</v>
      </c>
      <c r="H5" s="199">
        <v>21734.260000000002</v>
      </c>
      <c r="I5" s="199">
        <v>20557.443109215601</v>
      </c>
      <c r="J5" s="199">
        <v>20750.300973064772</v>
      </c>
      <c r="K5" s="179">
        <v>19484.370000000003</v>
      </c>
      <c r="L5" s="199">
        <v>19613.849999999999</v>
      </c>
      <c r="M5" s="199">
        <v>18494</v>
      </c>
      <c r="N5" s="514">
        <v>17992</v>
      </c>
      <c r="O5" s="514">
        <v>17320.475969894014</v>
      </c>
      <c r="P5" s="514">
        <v>16406.698476500551</v>
      </c>
      <c r="Q5" s="514">
        <v>15722.490000000002</v>
      </c>
      <c r="R5" s="514">
        <v>14936.3655</v>
      </c>
      <c r="S5" s="514">
        <v>14338.910879999998</v>
      </c>
    </row>
    <row r="6" spans="1:19">
      <c r="A6" s="76" t="s">
        <v>534</v>
      </c>
      <c r="B6" s="77"/>
      <c r="C6" s="85">
        <v>19844.52</v>
      </c>
      <c r="D6" s="86">
        <v>21586.77</v>
      </c>
      <c r="E6" s="87">
        <v>16958.384783361147</v>
      </c>
      <c r="F6" s="87">
        <v>21240.294437595032</v>
      </c>
      <c r="G6" s="87">
        <v>21119.697668507702</v>
      </c>
      <c r="H6" s="87">
        <v>21849.63</v>
      </c>
      <c r="I6" s="87">
        <v>22836.04</v>
      </c>
      <c r="J6" s="87">
        <v>22224</v>
      </c>
      <c r="K6" s="87">
        <v>18942.210973064775</v>
      </c>
      <c r="L6" s="87">
        <v>19580.559434848248</v>
      </c>
      <c r="M6" s="87">
        <v>18494</v>
      </c>
      <c r="N6" s="760">
        <v>17992</v>
      </c>
      <c r="O6" s="760">
        <v>17320.475969894014</v>
      </c>
      <c r="P6" s="760">
        <v>16406.698476500551</v>
      </c>
      <c r="Q6" s="760">
        <v>15722.490000000002</v>
      </c>
      <c r="R6" s="760">
        <v>14936.3655</v>
      </c>
      <c r="S6" s="760">
        <v>14338.910879999998</v>
      </c>
    </row>
    <row r="7" spans="1:19">
      <c r="A7" s="76" t="s">
        <v>535</v>
      </c>
      <c r="B7" s="77"/>
      <c r="C7" s="85">
        <v>19844.52</v>
      </c>
      <c r="D7" s="89">
        <v>21586.77</v>
      </c>
      <c r="E7" s="89">
        <v>21586.77</v>
      </c>
      <c r="F7" s="87">
        <v>21240.294437595032</v>
      </c>
      <c r="G7" s="87">
        <v>21240.294437595032</v>
      </c>
      <c r="H7" s="87">
        <v>21841.13</v>
      </c>
      <c r="I7" s="87">
        <v>21035.62</v>
      </c>
      <c r="J7" s="87">
        <v>21611.759999999998</v>
      </c>
      <c r="K7" s="87">
        <v>19960.236000000001</v>
      </c>
      <c r="L7" s="87">
        <v>19580.559434848248</v>
      </c>
      <c r="M7" s="87">
        <v>18494</v>
      </c>
      <c r="N7" s="760">
        <v>17992</v>
      </c>
      <c r="O7" s="760">
        <v>17320.475969894014</v>
      </c>
      <c r="P7" s="760">
        <v>16406.698476500551</v>
      </c>
      <c r="Q7" s="760">
        <v>15722.490000000002</v>
      </c>
      <c r="R7" s="760">
        <v>14936.3655</v>
      </c>
      <c r="S7" s="760">
        <v>14338.910879999998</v>
      </c>
    </row>
    <row r="8" spans="1:19">
      <c r="A8" s="76" t="s">
        <v>536</v>
      </c>
      <c r="B8" s="77"/>
      <c r="C8" s="78"/>
      <c r="D8" s="89">
        <v>2199.6100000000006</v>
      </c>
      <c r="E8" s="89">
        <v>-2200</v>
      </c>
      <c r="F8" s="89">
        <v>1980</v>
      </c>
      <c r="G8" s="89">
        <v>-1980</v>
      </c>
      <c r="H8" s="89">
        <v>962.54000000000451</v>
      </c>
      <c r="I8" s="89">
        <v>-962.54000000000451</v>
      </c>
      <c r="J8" s="89">
        <v>542.1590269352273</v>
      </c>
      <c r="K8" s="89">
        <v>-542.1590269352273</v>
      </c>
      <c r="L8" s="89">
        <v>0</v>
      </c>
      <c r="M8" s="89">
        <v>0</v>
      </c>
      <c r="N8" s="197">
        <v>0</v>
      </c>
      <c r="O8" s="197">
        <v>0</v>
      </c>
      <c r="P8" s="197">
        <v>0</v>
      </c>
      <c r="Q8" s="197">
        <v>0</v>
      </c>
      <c r="R8" s="197">
        <v>0</v>
      </c>
      <c r="S8" s="197">
        <v>0</v>
      </c>
    </row>
    <row r="9" spans="1:19">
      <c r="A9" s="76" t="s">
        <v>537</v>
      </c>
      <c r="B9" s="77"/>
      <c r="C9" s="78"/>
      <c r="D9" s="90">
        <v>-2.3047168689391384E-2</v>
      </c>
      <c r="E9" s="90">
        <v>-3.4575551166712737E-2</v>
      </c>
      <c r="F9" s="90">
        <v>-2.9440145813804941E-2</v>
      </c>
      <c r="G9" s="90">
        <v>0.16403408439749123</v>
      </c>
      <c r="H9" s="200">
        <v>9.5227297006931888E-2</v>
      </c>
      <c r="I9" s="200">
        <v>3.5925439830018613E-2</v>
      </c>
      <c r="J9" s="200">
        <v>4.5643884209080055E-2</v>
      </c>
      <c r="K9" s="200">
        <v>-1.8148587116241566E-2</v>
      </c>
      <c r="L9" s="200">
        <v>-1.1623863918099442E-2</v>
      </c>
      <c r="M9" s="200">
        <v>-6.8055060036725568E-2</v>
      </c>
      <c r="N9" s="195">
        <v>-9.3351716242065841E-2</v>
      </c>
      <c r="O9" s="195">
        <v>-0.12719098421659913</v>
      </c>
      <c r="P9" s="195">
        <v>-0.17323782704240009</v>
      </c>
      <c r="Q9" s="195">
        <v>-0.20771628641055562</v>
      </c>
      <c r="R9" s="195">
        <v>-0.2473304720900279</v>
      </c>
      <c r="S9" s="195">
        <v>-0.27743725320642687</v>
      </c>
    </row>
    <row r="10" spans="1:19">
      <c r="A10" s="76" t="s">
        <v>538</v>
      </c>
      <c r="B10" s="77"/>
      <c r="C10" s="78"/>
      <c r="D10" s="90">
        <v>8.7795018473613817E-2</v>
      </c>
      <c r="E10" s="90">
        <v>8.7795018473613817E-2</v>
      </c>
      <c r="F10" s="90">
        <v>7.0335510135545398E-2</v>
      </c>
      <c r="G10" s="90">
        <v>7.0335510135545398E-2</v>
      </c>
      <c r="H10" s="200">
        <v>0.1006126628409254</v>
      </c>
      <c r="I10" s="200">
        <v>6.0021607980439873E-2</v>
      </c>
      <c r="J10" s="200">
        <v>8.9054308191883536E-2</v>
      </c>
      <c r="K10" s="200">
        <v>5.831131214058205E-3</v>
      </c>
      <c r="L10" s="200">
        <v>-1.330143360241276E-2</v>
      </c>
      <c r="M10" s="200">
        <v>-6.8055060036725568E-2</v>
      </c>
      <c r="N10" s="195">
        <v>-9.3351716242065841E-2</v>
      </c>
      <c r="O10" s="195">
        <v>-0.12719098421659913</v>
      </c>
      <c r="P10" s="195">
        <v>-0.17323782704240009</v>
      </c>
      <c r="Q10" s="195">
        <v>-0.20771628641055562</v>
      </c>
      <c r="R10" s="195">
        <v>-0.2473304720900279</v>
      </c>
      <c r="S10" s="195">
        <v>-0.27743725320642687</v>
      </c>
    </row>
    <row r="11" spans="1:19">
      <c r="A11" s="76" t="s">
        <v>480</v>
      </c>
      <c r="B11" s="77"/>
      <c r="C11" s="77"/>
      <c r="D11" s="174">
        <v>-2.3047168689391384E-2</v>
      </c>
      <c r="E11" s="174">
        <v>-1.1800347066762362E-2</v>
      </c>
      <c r="F11" s="174">
        <v>5.3193239088920041E-3</v>
      </c>
      <c r="G11" s="174">
        <v>0.19934291468661902</v>
      </c>
      <c r="H11" s="200">
        <v>-5.911062941612566E-2</v>
      </c>
      <c r="I11" s="200">
        <v>-5.4145707780453578E-2</v>
      </c>
      <c r="J11" s="200">
        <v>9.3814129911280464E-3</v>
      </c>
      <c r="K11" s="200">
        <v>-6.1007836691526984E-2</v>
      </c>
      <c r="L11" s="200">
        <v>6.6453264847667892E-3</v>
      </c>
      <c r="M11" s="200">
        <v>-5.7094858989948372E-2</v>
      </c>
      <c r="N11" s="195">
        <v>-2.7143938574672899E-2</v>
      </c>
      <c r="O11" s="195">
        <v>-3.7323478774232144E-2</v>
      </c>
      <c r="P11" s="195">
        <v>-5.2757065971037242E-2</v>
      </c>
      <c r="Q11" s="195">
        <v>-4.1702995729490988E-2</v>
      </c>
      <c r="R11" s="195">
        <v>-5.0000000000000155E-2</v>
      </c>
      <c r="S11" s="195">
        <v>-4.0000000000000147E-2</v>
      </c>
    </row>
    <row r="12" spans="1:19" ht="13.5" thickBot="1">
      <c r="A12" s="91"/>
      <c r="B12" s="82"/>
      <c r="C12" s="82"/>
      <c r="D12" s="82"/>
      <c r="E12" s="82"/>
      <c r="F12" s="82"/>
      <c r="G12" s="82"/>
      <c r="H12" s="201"/>
      <c r="I12" s="82"/>
      <c r="J12" s="82"/>
      <c r="K12" s="82"/>
      <c r="L12" s="82"/>
      <c r="M12" s="82"/>
      <c r="N12" s="83"/>
      <c r="O12" s="83"/>
      <c r="P12" s="83"/>
      <c r="Q12" s="83"/>
      <c r="R12" s="83"/>
      <c r="S12" s="83"/>
    </row>
    <row r="13" spans="1:19" ht="13.5" thickBot="1">
      <c r="A13" s="91"/>
      <c r="B13" s="82"/>
      <c r="C13" s="82"/>
      <c r="D13" s="82"/>
      <c r="E13" s="82"/>
      <c r="F13" s="82"/>
      <c r="G13" s="82"/>
      <c r="H13" s="77"/>
    </row>
    <row r="14" spans="1:19" ht="13.5" thickBot="1"/>
    <row r="15" spans="1:19">
      <c r="A15" s="73" t="s">
        <v>412</v>
      </c>
      <c r="B15" s="74"/>
      <c r="C15" s="519" t="s">
        <v>532</v>
      </c>
      <c r="D15" s="520" t="s">
        <v>495</v>
      </c>
      <c r="E15" s="520" t="s">
        <v>409</v>
      </c>
      <c r="F15" s="520" t="s">
        <v>420</v>
      </c>
      <c r="G15" s="520" t="s">
        <v>333</v>
      </c>
      <c r="H15" s="521" t="s">
        <v>281</v>
      </c>
      <c r="I15" s="521" t="s">
        <v>233</v>
      </c>
      <c r="J15" s="522" t="s">
        <v>16</v>
      </c>
      <c r="K15" s="522" t="s">
        <v>817</v>
      </c>
      <c r="L15" s="522" t="s">
        <v>926</v>
      </c>
      <c r="M15" s="522" t="s">
        <v>997</v>
      </c>
      <c r="N15" s="522" t="s">
        <v>1012</v>
      </c>
      <c r="O15" s="522" t="s">
        <v>1181</v>
      </c>
      <c r="P15" s="522" t="s">
        <v>1481</v>
      </c>
    </row>
    <row r="16" spans="1:19">
      <c r="A16" s="76" t="s">
        <v>488</v>
      </c>
      <c r="B16" s="77"/>
      <c r="C16" s="81">
        <v>9000000</v>
      </c>
      <c r="D16" s="81">
        <v>9532800</v>
      </c>
      <c r="E16" s="58">
        <v>9964634.8399999999</v>
      </c>
      <c r="F16" s="58">
        <v>9964634.8399999999</v>
      </c>
      <c r="G16" s="58">
        <v>9964634.8399999999</v>
      </c>
      <c r="H16" s="58">
        <v>9964634.8399999999</v>
      </c>
      <c r="I16" s="1540">
        <v>9964634.8399999999</v>
      </c>
      <c r="J16" s="1541">
        <v>9964634.8399999999</v>
      </c>
      <c r="K16" s="1541">
        <v>10121079.606988</v>
      </c>
      <c r="L16" s="1541">
        <v>10208120.891608097</v>
      </c>
      <c r="M16" s="1541">
        <v>10312243.7247025</v>
      </c>
      <c r="N16" s="1541">
        <v>10312243.7247025</v>
      </c>
      <c r="O16" s="1541">
        <v>10473114.726807859</v>
      </c>
      <c r="P16" s="1541">
        <v>10698286.693434229</v>
      </c>
    </row>
    <row r="17" spans="1:16">
      <c r="A17" s="76" t="s">
        <v>522</v>
      </c>
      <c r="B17" s="77"/>
      <c r="C17" s="81">
        <v>70000089.678459525</v>
      </c>
      <c r="D17" s="81">
        <v>92701888.239999995</v>
      </c>
      <c r="E17" s="58">
        <v>96333851.498092011</v>
      </c>
      <c r="F17" s="58">
        <v>99543917.692152008</v>
      </c>
      <c r="G17" s="58">
        <v>95876510.404067978</v>
      </c>
      <c r="H17" s="58">
        <v>98429909.097799987</v>
      </c>
      <c r="I17" s="1540">
        <v>90949002.562908009</v>
      </c>
      <c r="J17" s="1541">
        <v>89200184.592641428</v>
      </c>
      <c r="K17" s="1541">
        <v>85606909.12780498</v>
      </c>
      <c r="L17" s="1541">
        <v>83978988.435651615</v>
      </c>
      <c r="M17" s="1541">
        <v>81657417.681553841</v>
      </c>
      <c r="N17" s="1541">
        <v>77397394.910758421</v>
      </c>
      <c r="O17" s="1541">
        <v>77940270.204099</v>
      </c>
      <c r="P17" s="1541">
        <v>78818695.258422643</v>
      </c>
    </row>
    <row r="18" spans="1:16">
      <c r="A18" s="76" t="s">
        <v>525</v>
      </c>
      <c r="B18" s="77"/>
      <c r="C18" s="81">
        <v>4676805.3089648038</v>
      </c>
      <c r="D18" s="81">
        <v>4050773.0331779998</v>
      </c>
      <c r="E18" s="58">
        <v>0</v>
      </c>
      <c r="F18" s="58">
        <v>0</v>
      </c>
      <c r="G18" s="58">
        <v>0</v>
      </c>
      <c r="H18" s="58">
        <v>0</v>
      </c>
      <c r="I18" s="1540">
        <v>0</v>
      </c>
      <c r="J18" s="1541">
        <v>1556887.6650924704</v>
      </c>
      <c r="K18" s="1541">
        <v>823260.70311921963</v>
      </c>
      <c r="L18" s="1541">
        <v>960708.51513804926</v>
      </c>
      <c r="M18" s="1541">
        <v>0</v>
      </c>
      <c r="N18" s="1541">
        <v>1368270.3627131903</v>
      </c>
      <c r="O18" s="1541">
        <v>1900887.7760144973</v>
      </c>
      <c r="P18" s="1541">
        <v>2103649.0758686364</v>
      </c>
    </row>
    <row r="19" spans="1:16">
      <c r="A19" s="76" t="s">
        <v>417</v>
      </c>
      <c r="B19" s="77"/>
      <c r="C19" s="81">
        <v>18557740.116642822</v>
      </c>
      <c r="D19" s="253">
        <v>0</v>
      </c>
      <c r="E19" s="58">
        <v>3209960.1940599913</v>
      </c>
      <c r="F19" s="58">
        <v>-3667509.2880840143</v>
      </c>
      <c r="G19" s="58">
        <v>2568214.6937320032</v>
      </c>
      <c r="H19" s="58">
        <v>-7525230</v>
      </c>
      <c r="I19" s="1540">
        <v>-1748817.9702665815</v>
      </c>
      <c r="J19" s="1541">
        <v>-4927183.0024196235</v>
      </c>
      <c r="K19" s="1541">
        <v>-2389180.5762746101</v>
      </c>
      <c r="L19" s="1541">
        <v>-3186949.1211368465</v>
      </c>
      <c r="M19" s="1541">
        <v>-4174460.4767444758</v>
      </c>
      <c r="N19" s="1541">
        <v>-664524.06726724992</v>
      </c>
      <c r="O19" s="1541">
        <v>0</v>
      </c>
      <c r="P19" s="1541">
        <v>0</v>
      </c>
    </row>
    <row r="20" spans="1:16">
      <c r="A20" s="76" t="s">
        <v>526</v>
      </c>
      <c r="B20" s="77"/>
      <c r="C20" s="81"/>
      <c r="D20" s="81">
        <v>0</v>
      </c>
      <c r="E20" s="58"/>
      <c r="F20" s="58"/>
      <c r="G20" s="58"/>
      <c r="H20" s="77"/>
      <c r="I20" s="77"/>
      <c r="J20" s="79"/>
      <c r="K20" s="79"/>
      <c r="L20" s="79"/>
      <c r="M20" s="79"/>
      <c r="N20" s="79"/>
      <c r="O20" s="79"/>
      <c r="P20" s="79"/>
    </row>
    <row r="21" spans="1:16">
      <c r="A21" s="515" t="s">
        <v>273</v>
      </c>
      <c r="B21" s="286"/>
      <c r="C21" s="286"/>
      <c r="D21" s="286"/>
      <c r="E21" s="287">
        <v>-1303017.9975614697</v>
      </c>
      <c r="F21" s="287">
        <v>-139882.75978580117</v>
      </c>
      <c r="G21" s="287">
        <v>-574998.61603042483</v>
      </c>
      <c r="H21" s="1536">
        <v>0</v>
      </c>
      <c r="I21" s="1536">
        <v>0</v>
      </c>
      <c r="J21" s="1539">
        <v>0</v>
      </c>
      <c r="K21" s="1539">
        <v>0</v>
      </c>
      <c r="L21" s="1539">
        <v>0</v>
      </c>
      <c r="M21" s="1539">
        <v>0</v>
      </c>
      <c r="N21" s="1539">
        <v>0</v>
      </c>
      <c r="O21" s="1539">
        <v>0</v>
      </c>
      <c r="P21" s="1539">
        <v>0</v>
      </c>
    </row>
    <row r="22" spans="1:16">
      <c r="A22" s="515" t="s">
        <v>155</v>
      </c>
      <c r="B22" s="286"/>
      <c r="C22" s="286"/>
      <c r="D22" s="286"/>
      <c r="E22" s="287"/>
      <c r="F22" s="1536">
        <v>0</v>
      </c>
      <c r="G22" s="1536">
        <v>0</v>
      </c>
      <c r="H22" s="1536">
        <v>1381227.7022000104</v>
      </c>
      <c r="I22" s="1537">
        <v>14792733.98735857</v>
      </c>
      <c r="J22" s="1538">
        <v>19660230.394685715</v>
      </c>
      <c r="K22" s="1538">
        <v>27846769.866494656</v>
      </c>
      <c r="L22" s="1538">
        <v>44043580.708739087</v>
      </c>
      <c r="M22" s="1538">
        <v>57220694.850488096</v>
      </c>
      <c r="N22" s="1538">
        <v>66197091.28989698</v>
      </c>
      <c r="O22" s="1538">
        <v>75332462.777409449</v>
      </c>
      <c r="P22" s="1538">
        <v>85627561.529546246</v>
      </c>
    </row>
    <row r="23" spans="1:16" ht="13.5" thickBot="1">
      <c r="A23" s="91"/>
      <c r="B23" s="82"/>
      <c r="C23" s="516">
        <v>102234635.10406715</v>
      </c>
      <c r="D23" s="516">
        <v>106285461.273178</v>
      </c>
      <c r="E23" s="517">
        <v>108205428.53459054</v>
      </c>
      <c r="F23" s="517">
        <v>105701160.4842822</v>
      </c>
      <c r="G23" s="517">
        <v>107834361.32176957</v>
      </c>
      <c r="H23" s="516">
        <v>102250541.64</v>
      </c>
      <c r="I23" s="414">
        <v>113957553.42</v>
      </c>
      <c r="J23" s="518">
        <v>115454754.48999999</v>
      </c>
      <c r="K23" s="518">
        <v>122008838.72813225</v>
      </c>
      <c r="L23" s="518">
        <v>136004449.43000001</v>
      </c>
      <c r="M23" s="518">
        <v>145015895.77999997</v>
      </c>
      <c r="N23" s="518">
        <v>154610476.22080383</v>
      </c>
      <c r="O23" s="518">
        <v>165646735.4843308</v>
      </c>
      <c r="P23" s="518">
        <v>177248192.55727175</v>
      </c>
    </row>
    <row r="24" spans="1:16">
      <c r="A24" s="492"/>
      <c r="B24" s="77"/>
      <c r="C24" s="77"/>
      <c r="D24" s="81"/>
      <c r="E24" s="20"/>
      <c r="F24" s="77"/>
      <c r="G24" s="77"/>
      <c r="H24" s="77"/>
      <c r="I24" s="77"/>
      <c r="J24" s="77"/>
    </row>
    <row r="25" spans="1:16">
      <c r="A25" s="492"/>
      <c r="B25" s="77"/>
      <c r="C25" s="77"/>
      <c r="D25" s="81"/>
      <c r="E25" s="77"/>
      <c r="F25" s="77"/>
      <c r="G25" s="77"/>
      <c r="H25" s="77"/>
      <c r="I25" s="77"/>
      <c r="J25" s="77"/>
    </row>
    <row r="26" spans="1:16">
      <c r="A26" s="493"/>
      <c r="B26" s="279"/>
      <c r="C26" s="279"/>
      <c r="D26" s="494"/>
      <c r="E26" s="279"/>
      <c r="F26" s="279"/>
      <c r="G26" s="279"/>
      <c r="H26" s="279"/>
      <c r="I26" s="77"/>
      <c r="J26" s="77"/>
    </row>
    <row r="27" spans="1:16" ht="13.5" thickBot="1"/>
    <row r="28" spans="1:16">
      <c r="A28" s="73" t="s">
        <v>475</v>
      </c>
      <c r="B28" s="74"/>
      <c r="C28" s="74"/>
      <c r="D28" s="74"/>
      <c r="E28" s="74"/>
      <c r="F28" s="75"/>
    </row>
    <row r="29" spans="1:16">
      <c r="A29" s="84" t="s">
        <v>379</v>
      </c>
      <c r="B29" s="194" t="s">
        <v>532</v>
      </c>
      <c r="C29" s="93" t="s">
        <v>620</v>
      </c>
      <c r="D29" s="93" t="s">
        <v>621</v>
      </c>
      <c r="E29" s="93" t="s">
        <v>619</v>
      </c>
      <c r="F29" s="176" t="s">
        <v>625</v>
      </c>
    </row>
    <row r="30" spans="1:16">
      <c r="A30" s="76" t="s">
        <v>473</v>
      </c>
      <c r="B30" s="77"/>
      <c r="C30" s="185">
        <v>4184.38</v>
      </c>
      <c r="D30" s="185">
        <v>8387.923581422021</v>
      </c>
      <c r="E30" s="185">
        <v>6687.9908561730117</v>
      </c>
      <c r="F30" s="184">
        <v>19260.294437595032</v>
      </c>
      <c r="G30" s="231"/>
    </row>
    <row r="31" spans="1:16">
      <c r="A31" s="76" t="s">
        <v>474</v>
      </c>
      <c r="B31" s="77"/>
      <c r="C31" s="185">
        <v>69.900000000000006</v>
      </c>
      <c r="D31" s="185">
        <v>246.56393905217075</v>
      </c>
      <c r="E31" s="185">
        <v>110.2958883012062</v>
      </c>
      <c r="F31" s="184">
        <v>426.75982735337698</v>
      </c>
    </row>
    <row r="32" spans="1:16">
      <c r="A32" s="76" t="s">
        <v>557</v>
      </c>
      <c r="B32" s="77"/>
      <c r="C32" s="185">
        <v>0</v>
      </c>
      <c r="D32" s="185">
        <v>156.33714285714285</v>
      </c>
      <c r="E32" s="185">
        <v>2.8571428571428572</v>
      </c>
      <c r="F32" s="184">
        <v>159.19428571428571</v>
      </c>
    </row>
    <row r="33" spans="1:11">
      <c r="A33" s="76" t="s">
        <v>625</v>
      </c>
      <c r="B33" s="77"/>
      <c r="C33" s="161">
        <v>4254.28</v>
      </c>
      <c r="D33" s="161">
        <v>8790.8246633313338</v>
      </c>
      <c r="E33" s="161">
        <v>6801.1438873313609</v>
      </c>
      <c r="F33" s="186">
        <v>19846.248550662694</v>
      </c>
    </row>
    <row r="34" spans="1:11">
      <c r="A34" s="76"/>
      <c r="B34" s="77"/>
      <c r="C34" s="185"/>
      <c r="D34" s="185"/>
      <c r="E34" s="185"/>
      <c r="F34" s="184"/>
    </row>
    <row r="35" spans="1:11">
      <c r="A35" s="1533" t="s">
        <v>379</v>
      </c>
      <c r="B35" s="496" t="s">
        <v>495</v>
      </c>
      <c r="C35" s="497" t="s">
        <v>620</v>
      </c>
      <c r="D35" s="497" t="s">
        <v>621</v>
      </c>
      <c r="E35" s="497" t="s">
        <v>619</v>
      </c>
      <c r="F35" s="499" t="s">
        <v>625</v>
      </c>
      <c r="G35" s="316"/>
    </row>
    <row r="36" spans="1:11">
      <c r="A36" s="76" t="s">
        <v>473</v>
      </c>
      <c r="B36" s="77"/>
      <c r="C36" s="88">
        <v>5087.42</v>
      </c>
      <c r="D36" s="185">
        <v>9265.2687395597059</v>
      </c>
      <c r="E36" s="185">
        <v>8747.0089289479947</v>
      </c>
      <c r="F36" s="184">
        <v>23099.697668507702</v>
      </c>
      <c r="G36" s="70"/>
      <c r="H36" s="158"/>
      <c r="I36" s="158"/>
      <c r="J36" s="70"/>
    </row>
    <row r="37" spans="1:11">
      <c r="A37" s="76" t="s">
        <v>474</v>
      </c>
      <c r="B37" s="77"/>
      <c r="C37" s="498">
        <v>98.59</v>
      </c>
      <c r="D37" s="185">
        <v>221.40025556544239</v>
      </c>
      <c r="E37" s="185">
        <v>100.07993636901968</v>
      </c>
      <c r="F37" s="184">
        <v>420.07019193446206</v>
      </c>
      <c r="G37" s="322"/>
      <c r="H37" s="158"/>
      <c r="I37" s="158"/>
      <c r="J37" s="70"/>
    </row>
    <row r="38" spans="1:11">
      <c r="A38" s="76" t="s">
        <v>557</v>
      </c>
      <c r="B38" s="77"/>
      <c r="C38" s="279"/>
      <c r="D38" s="318">
        <v>94.375238095238089</v>
      </c>
      <c r="E38" s="318">
        <v>4.5733333333333333</v>
      </c>
      <c r="F38" s="524">
        <v>98.948571428571427</v>
      </c>
      <c r="G38" s="77"/>
      <c r="H38" s="185"/>
      <c r="I38" s="185"/>
      <c r="J38" s="88"/>
    </row>
    <row r="39" spans="1:11">
      <c r="A39" s="76" t="s">
        <v>625</v>
      </c>
      <c r="B39" s="77"/>
      <c r="C39" s="185">
        <v>5186.01</v>
      </c>
      <c r="D39" s="185">
        <v>9581.0442332203856</v>
      </c>
      <c r="E39" s="185">
        <v>8851.6621986503487</v>
      </c>
      <c r="F39" s="184">
        <v>23618.716431870736</v>
      </c>
      <c r="G39" s="70"/>
      <c r="H39" s="158"/>
      <c r="I39" s="70"/>
      <c r="J39" s="70"/>
    </row>
    <row r="40" spans="1:11">
      <c r="A40" s="76"/>
      <c r="B40" s="77"/>
      <c r="C40" s="185"/>
      <c r="D40" s="185"/>
      <c r="E40" s="185"/>
      <c r="F40" s="184"/>
    </row>
    <row r="41" spans="1:11">
      <c r="A41" s="76" t="s">
        <v>496</v>
      </c>
      <c r="B41" s="77"/>
      <c r="C41" s="185">
        <v>931.73000000000047</v>
      </c>
      <c r="D41" s="185">
        <v>790.21956988905185</v>
      </c>
      <c r="E41" s="185">
        <v>2050.5183113189878</v>
      </c>
      <c r="F41" s="184">
        <v>3772.4678812080419</v>
      </c>
    </row>
    <row r="42" spans="1:11">
      <c r="A42" s="76"/>
      <c r="B42" s="77"/>
      <c r="C42" s="174">
        <v>0.21901003224987553</v>
      </c>
      <c r="D42" s="174">
        <v>8.9891403838965156E-2</v>
      </c>
      <c r="E42" s="174">
        <v>0.30149609319963555</v>
      </c>
      <c r="F42" s="175">
        <v>0.1900846838422808</v>
      </c>
    </row>
    <row r="43" spans="1:11">
      <c r="A43" s="84"/>
      <c r="B43" s="279"/>
      <c r="C43" s="279"/>
      <c r="D43" s="279"/>
      <c r="E43" s="279"/>
      <c r="F43" s="495"/>
      <c r="G43" t="s">
        <v>167</v>
      </c>
    </row>
    <row r="44" spans="1:11">
      <c r="A44" s="1534" t="s">
        <v>379</v>
      </c>
      <c r="B44" s="194" t="s">
        <v>409</v>
      </c>
      <c r="C44" s="187" t="s">
        <v>620</v>
      </c>
      <c r="D44" s="187" t="s">
        <v>621</v>
      </c>
      <c r="E44" s="187" t="s">
        <v>619</v>
      </c>
      <c r="F44" s="188" t="s">
        <v>625</v>
      </c>
      <c r="G44" s="316" t="s">
        <v>428</v>
      </c>
      <c r="H44" s="316" t="s">
        <v>621</v>
      </c>
      <c r="I44" s="316" t="s">
        <v>429</v>
      </c>
      <c r="K44" s="316" t="s">
        <v>251</v>
      </c>
    </row>
    <row r="45" spans="1:11">
      <c r="A45" s="76" t="s">
        <v>473</v>
      </c>
      <c r="B45" s="77"/>
      <c r="C45" s="185">
        <v>4678.26</v>
      </c>
      <c r="D45" s="185">
        <v>9023</v>
      </c>
      <c r="E45" s="185">
        <v>8033</v>
      </c>
      <c r="F45" s="184">
        <v>21734.260000000002</v>
      </c>
      <c r="G45" s="231" t="e">
        <v>#REF!</v>
      </c>
      <c r="H45" s="336" t="e">
        <v>#REF!</v>
      </c>
      <c r="I45" s="336" t="e">
        <v>#REF!</v>
      </c>
      <c r="J45" s="338" t="e">
        <v>#REF!</v>
      </c>
    </row>
    <row r="46" spans="1:11">
      <c r="A46" s="76" t="s">
        <v>474</v>
      </c>
      <c r="B46" s="77"/>
      <c r="C46" s="185">
        <v>98.29</v>
      </c>
      <c r="D46" s="185">
        <v>216</v>
      </c>
      <c r="E46" s="185">
        <v>105</v>
      </c>
      <c r="F46" s="184">
        <v>419.29</v>
      </c>
      <c r="G46" s="336" t="e">
        <v>#REF!</v>
      </c>
      <c r="H46" s="336" t="e">
        <v>#REF!</v>
      </c>
      <c r="I46" s="336" t="e">
        <v>#REF!</v>
      </c>
    </row>
    <row r="47" spans="1:11">
      <c r="A47" s="76" t="s">
        <v>557</v>
      </c>
      <c r="B47" s="77"/>
      <c r="C47" s="185">
        <v>0</v>
      </c>
      <c r="D47" s="185">
        <v>115</v>
      </c>
      <c r="E47" s="185">
        <v>2</v>
      </c>
      <c r="F47" s="184">
        <v>117</v>
      </c>
      <c r="G47" s="337" t="e">
        <v>#REF!</v>
      </c>
      <c r="H47" s="337" t="e">
        <v>#REF!</v>
      </c>
      <c r="I47" s="337" t="e">
        <v>#REF!</v>
      </c>
    </row>
    <row r="48" spans="1:11">
      <c r="A48" s="76" t="s">
        <v>625</v>
      </c>
      <c r="B48" s="77"/>
      <c r="C48" s="161">
        <v>4776.55</v>
      </c>
      <c r="D48" s="161">
        <v>9354</v>
      </c>
      <c r="E48" s="161">
        <v>8140</v>
      </c>
      <c r="F48" s="186">
        <v>22270.550000000003</v>
      </c>
      <c r="G48" s="317" t="e">
        <v>#REF!</v>
      </c>
      <c r="H48" s="317" t="e">
        <v>#REF!</v>
      </c>
      <c r="I48" s="317" t="e">
        <v>#REF!</v>
      </c>
      <c r="J48" s="164" t="e">
        <v>#REF!</v>
      </c>
    </row>
    <row r="49" spans="1:11">
      <c r="A49" s="76"/>
      <c r="B49" s="77"/>
      <c r="C49" s="185"/>
      <c r="D49" s="185"/>
      <c r="E49" s="185"/>
      <c r="F49" s="184"/>
      <c r="G49" s="318"/>
      <c r="H49" s="318"/>
      <c r="I49" s="318"/>
      <c r="J49" s="71"/>
    </row>
    <row r="50" spans="1:11">
      <c r="A50" s="76" t="s">
        <v>413</v>
      </c>
      <c r="B50" s="77"/>
      <c r="C50" s="185">
        <v>-409.46000000000004</v>
      </c>
      <c r="D50" s="185">
        <v>-227.04423322038565</v>
      </c>
      <c r="E50" s="185">
        <v>-711.66219865034873</v>
      </c>
      <c r="F50" s="184">
        <v>-1348.1664318707335</v>
      </c>
      <c r="G50" s="70"/>
      <c r="H50" s="70"/>
      <c r="I50" s="70"/>
      <c r="J50" s="70"/>
      <c r="K50" s="70"/>
    </row>
    <row r="51" spans="1:11">
      <c r="A51" s="76"/>
      <c r="B51" s="77"/>
      <c r="C51" s="174">
        <v>-7.8954726273184977E-2</v>
      </c>
      <c r="D51" s="174">
        <v>-2.3697232545191103E-2</v>
      </c>
      <c r="E51" s="174">
        <v>-8.0398707347740739E-2</v>
      </c>
      <c r="F51" s="175">
        <v>-5.7080427539726003E-2</v>
      </c>
      <c r="G51" s="319"/>
      <c r="H51" s="319"/>
      <c r="I51" s="319"/>
      <c r="J51" s="319"/>
    </row>
    <row r="52" spans="1:11" ht="13.5" thickBot="1">
      <c r="A52" s="91"/>
      <c r="B52" s="82"/>
      <c r="C52" s="82"/>
      <c r="D52" s="82"/>
      <c r="E52" s="82"/>
      <c r="F52" s="83"/>
    </row>
    <row r="53" spans="1:11">
      <c r="A53" s="1534" t="s">
        <v>379</v>
      </c>
      <c r="B53" s="194" t="s">
        <v>420</v>
      </c>
      <c r="C53" s="187" t="s">
        <v>620</v>
      </c>
      <c r="D53" s="187" t="s">
        <v>621</v>
      </c>
      <c r="E53" s="187" t="s">
        <v>619</v>
      </c>
      <c r="F53" s="188" t="s">
        <v>625</v>
      </c>
      <c r="G53" s="523" t="s">
        <v>33</v>
      </c>
    </row>
    <row r="54" spans="1:11">
      <c r="A54" s="289" t="s">
        <v>75</v>
      </c>
      <c r="B54" s="77"/>
      <c r="C54" s="185">
        <v>4552.8821703306912</v>
      </c>
      <c r="D54" s="185">
        <v>7620.6194414678821</v>
      </c>
      <c r="E54" s="185">
        <v>8383.9414974170268</v>
      </c>
      <c r="F54" s="184">
        <v>20557.443109215601</v>
      </c>
      <c r="H54" s="273">
        <v>21434.260000000002</v>
      </c>
    </row>
    <row r="55" spans="1:11">
      <c r="A55" s="289" t="s">
        <v>7</v>
      </c>
      <c r="B55" s="77"/>
      <c r="C55" s="1535">
        <v>86.389999999999986</v>
      </c>
      <c r="D55" s="1535">
        <v>220.26291776299476</v>
      </c>
      <c r="E55" s="1535">
        <v>129.02335385023289</v>
      </c>
      <c r="F55" s="184">
        <v>435.67627161322764</v>
      </c>
      <c r="H55" s="399" t="e">
        <v>#REF!</v>
      </c>
    </row>
    <row r="56" spans="1:11">
      <c r="A56" s="289" t="s">
        <v>8</v>
      </c>
      <c r="B56" s="77"/>
      <c r="C56" s="1535">
        <v>0</v>
      </c>
      <c r="D56" s="1535">
        <v>80.062857142857141</v>
      </c>
      <c r="E56" s="1535">
        <v>0.97523809523809524</v>
      </c>
      <c r="F56" s="184">
        <v>81.038095238095238</v>
      </c>
    </row>
    <row r="57" spans="1:11">
      <c r="A57" s="76" t="s">
        <v>625</v>
      </c>
      <c r="B57" s="77"/>
      <c r="C57" s="161">
        <v>4639.2721703306916</v>
      </c>
      <c r="D57" s="161">
        <v>7920.9452163737342</v>
      </c>
      <c r="E57" s="161">
        <v>8513.940089362497</v>
      </c>
      <c r="F57" s="186">
        <v>21074.157476066925</v>
      </c>
      <c r="H57" s="317"/>
    </row>
    <row r="58" spans="1:11">
      <c r="A58" s="76"/>
      <c r="B58" s="77"/>
      <c r="C58" s="185"/>
      <c r="D58" s="185"/>
      <c r="E58" s="185"/>
      <c r="F58" s="184"/>
    </row>
    <row r="59" spans="1:11">
      <c r="A59" s="76" t="s">
        <v>421</v>
      </c>
      <c r="B59" s="77"/>
      <c r="C59" s="185">
        <v>-137.27782966930863</v>
      </c>
      <c r="D59" s="185">
        <v>-1433.0547836262658</v>
      </c>
      <c r="E59" s="185">
        <v>373.94008936249702</v>
      </c>
      <c r="F59" s="184">
        <v>-1196.3925239330783</v>
      </c>
      <c r="H59" s="317"/>
    </row>
    <row r="60" spans="1:11">
      <c r="A60" s="76"/>
      <c r="B60" s="77"/>
      <c r="C60" s="174">
        <v>-2.8739954500488558E-2</v>
      </c>
      <c r="D60" s="174">
        <v>-0.15320235018454842</v>
      </c>
      <c r="E60" s="174">
        <v>4.5938585916768679E-2</v>
      </c>
      <c r="F60" s="175">
        <v>-5.3720834192827666E-2</v>
      </c>
      <c r="H60" s="665"/>
    </row>
    <row r="61" spans="1:11" ht="13.5" thickBot="1">
      <c r="A61" s="91"/>
      <c r="B61" s="82"/>
      <c r="C61" s="82"/>
      <c r="D61" s="82"/>
      <c r="E61" s="82"/>
      <c r="F61" s="83"/>
      <c r="H61" s="338"/>
    </row>
    <row r="62" spans="1:11">
      <c r="A62" s="603" t="s">
        <v>379</v>
      </c>
      <c r="B62" s="194" t="s">
        <v>333</v>
      </c>
      <c r="C62" s="187" t="s">
        <v>620</v>
      </c>
      <c r="D62" s="187" t="s">
        <v>621</v>
      </c>
      <c r="E62" s="187" t="s">
        <v>619</v>
      </c>
      <c r="F62" s="188" t="s">
        <v>625</v>
      </c>
    </row>
    <row r="63" spans="1:11">
      <c r="A63" s="76" t="s">
        <v>473</v>
      </c>
      <c r="B63" s="77"/>
      <c r="C63" s="185">
        <v>4665.130000000001</v>
      </c>
      <c r="D63" s="185">
        <v>7944.1890094606269</v>
      </c>
      <c r="E63" s="185">
        <v>8140.981963604142</v>
      </c>
      <c r="F63" s="184">
        <v>20750.300973064772</v>
      </c>
      <c r="H63" s="273">
        <v>21485.5641</v>
      </c>
      <c r="I63" t="s">
        <v>35</v>
      </c>
    </row>
    <row r="64" spans="1:11">
      <c r="A64" s="76" t="s">
        <v>474</v>
      </c>
      <c r="B64" s="77"/>
      <c r="C64" s="185">
        <v>98.29</v>
      </c>
      <c r="D64" s="185">
        <v>234.58626384227227</v>
      </c>
      <c r="E64" s="185">
        <v>110.27935064366844</v>
      </c>
      <c r="F64" s="184">
        <v>443.15561448594076</v>
      </c>
      <c r="H64" s="399">
        <v>-1.1442574994501853E-2</v>
      </c>
    </row>
    <row r="65" spans="1:12">
      <c r="A65" s="76" t="s">
        <v>557</v>
      </c>
      <c r="B65" s="77"/>
      <c r="C65" s="185">
        <v>0</v>
      </c>
      <c r="D65" s="185">
        <v>86.56</v>
      </c>
      <c r="E65" s="185">
        <v>1.4952380952380953</v>
      </c>
      <c r="F65" s="184">
        <v>88.055238095238096</v>
      </c>
      <c r="H65" t="s">
        <v>182</v>
      </c>
    </row>
    <row r="66" spans="1:12">
      <c r="A66" s="76" t="s">
        <v>625</v>
      </c>
      <c r="B66" s="77"/>
      <c r="C66" s="161">
        <v>4763.420000000001</v>
      </c>
      <c r="D66" s="161">
        <v>8265.3352733028987</v>
      </c>
      <c r="E66" s="161">
        <v>8252.7565523430494</v>
      </c>
      <c r="F66" s="186">
        <v>21281.511825645954</v>
      </c>
      <c r="H66" t="s">
        <v>9</v>
      </c>
    </row>
    <row r="67" spans="1:12">
      <c r="A67" s="76"/>
      <c r="B67" s="77"/>
      <c r="C67" s="185"/>
      <c r="D67" s="185"/>
      <c r="E67" s="185"/>
      <c r="F67" s="184"/>
      <c r="H67" t="s">
        <v>10</v>
      </c>
    </row>
    <row r="68" spans="1:12">
      <c r="A68" s="289" t="s">
        <v>205</v>
      </c>
      <c r="B68" s="77"/>
      <c r="C68" s="185">
        <v>124.14782966930943</v>
      </c>
      <c r="D68" s="185">
        <v>344.39005692916453</v>
      </c>
      <c r="E68" s="185">
        <v>-261.18353701944761</v>
      </c>
      <c r="F68" s="184">
        <v>207.35434957902908</v>
      </c>
    </row>
    <row r="69" spans="1:12">
      <c r="A69" s="76"/>
      <c r="B69" s="77"/>
      <c r="C69" s="174">
        <v>2.6760195373590263E-2</v>
      </c>
      <c r="D69" s="174">
        <v>4.347840409466041E-2</v>
      </c>
      <c r="E69" s="174">
        <v>-3.0677164071870325E-2</v>
      </c>
      <c r="F69" s="175">
        <v>9.839271145928993E-3</v>
      </c>
      <c r="J69">
        <v>1494</v>
      </c>
      <c r="K69" t="s">
        <v>621</v>
      </c>
      <c r="L69">
        <v>0.15971776779987171</v>
      </c>
    </row>
    <row r="70" spans="1:12" ht="13.5" thickBot="1">
      <c r="A70" s="91" t="s">
        <v>132</v>
      </c>
      <c r="B70" s="82"/>
      <c r="C70" s="486">
        <v>-2.7488459243594221E-3</v>
      </c>
      <c r="D70" s="486">
        <v>-0.11638493977946351</v>
      </c>
      <c r="E70" s="486">
        <v>1.385215630750003E-2</v>
      </c>
      <c r="F70" s="83"/>
      <c r="J70">
        <v>242</v>
      </c>
      <c r="K70" t="s">
        <v>429</v>
      </c>
      <c r="L70">
        <v>2.9729729729729731E-2</v>
      </c>
    </row>
    <row r="71" spans="1:12">
      <c r="A71" s="603" t="s">
        <v>379</v>
      </c>
      <c r="B71" s="194" t="s">
        <v>281</v>
      </c>
      <c r="C71" s="187" t="s">
        <v>620</v>
      </c>
      <c r="D71" s="187" t="s">
        <v>621</v>
      </c>
      <c r="E71" s="187" t="s">
        <v>619</v>
      </c>
      <c r="F71" s="188" t="s">
        <v>625</v>
      </c>
      <c r="J71">
        <v>208</v>
      </c>
      <c r="K71" t="s">
        <v>428</v>
      </c>
      <c r="L71">
        <v>4.3546074049261495E-2</v>
      </c>
    </row>
    <row r="72" spans="1:12">
      <c r="A72" s="76" t="s">
        <v>473</v>
      </c>
      <c r="B72" s="77"/>
      <c r="C72" s="185">
        <v>3687.4168726538433</v>
      </c>
      <c r="D72" s="185">
        <v>6269.9595189384963</v>
      </c>
      <c r="E72" s="840">
        <v>7157.7609109770274</v>
      </c>
      <c r="F72" s="577">
        <v>17115.137302569368</v>
      </c>
      <c r="G72" s="70">
        <v>21312</v>
      </c>
      <c r="H72" s="70">
        <v>2369</v>
      </c>
      <c r="I72" t="s">
        <v>691</v>
      </c>
    </row>
    <row r="73" spans="1:12">
      <c r="A73" s="76" t="s">
        <v>474</v>
      </c>
      <c r="B73" s="77"/>
      <c r="C73" s="185">
        <v>86.36999999999999</v>
      </c>
      <c r="D73" s="185">
        <v>219.85</v>
      </c>
      <c r="E73" s="185">
        <v>129.42000000000002</v>
      </c>
      <c r="F73" s="578">
        <v>435.64</v>
      </c>
      <c r="H73" s="70">
        <v>21612</v>
      </c>
      <c r="I73" s="71" t="s">
        <v>711</v>
      </c>
    </row>
    <row r="74" spans="1:12">
      <c r="A74" s="76" t="s">
        <v>557</v>
      </c>
      <c r="B74" s="77"/>
      <c r="C74" s="185">
        <v>0</v>
      </c>
      <c r="D74" s="434">
        <v>80</v>
      </c>
      <c r="E74" s="185">
        <v>1</v>
      </c>
      <c r="F74" s="578">
        <v>81</v>
      </c>
      <c r="H74" s="70"/>
    </row>
    <row r="75" spans="1:12">
      <c r="A75" s="76" t="s">
        <v>625</v>
      </c>
      <c r="B75" s="77"/>
      <c r="C75" s="161">
        <v>3773.7868726538431</v>
      </c>
      <c r="D75" s="161">
        <v>6569.8095189384967</v>
      </c>
      <c r="E75" s="161">
        <v>7288.1809109770275</v>
      </c>
      <c r="F75" s="577">
        <v>17631.777302569368</v>
      </c>
      <c r="H75" s="70">
        <v>19991.100000000002</v>
      </c>
      <c r="I75" s="71" t="s">
        <v>710</v>
      </c>
    </row>
    <row r="76" spans="1:12">
      <c r="A76" s="76" t="s">
        <v>695</v>
      </c>
      <c r="B76" s="77"/>
      <c r="C76" s="318">
        <v>592.58312734615674</v>
      </c>
      <c r="D76" s="318">
        <v>961.04048106150401</v>
      </c>
      <c r="E76" s="318">
        <v>815.60908902297263</v>
      </c>
      <c r="F76" s="579">
        <v>2369.2326974306334</v>
      </c>
      <c r="G76" s="70"/>
      <c r="H76" s="70">
        <v>2369</v>
      </c>
      <c r="I76" t="s">
        <v>692</v>
      </c>
    </row>
    <row r="77" spans="1:12">
      <c r="A77" s="76" t="s">
        <v>625</v>
      </c>
      <c r="B77" s="77"/>
      <c r="C77" s="185">
        <v>4366.37</v>
      </c>
      <c r="D77" s="185">
        <v>7530.85</v>
      </c>
      <c r="E77" s="185">
        <v>8103.79</v>
      </c>
      <c r="F77" s="578">
        <v>20001.010000000002</v>
      </c>
      <c r="H77" s="70">
        <v>17622.100000000002</v>
      </c>
      <c r="I77" t="s">
        <v>693</v>
      </c>
    </row>
    <row r="78" spans="1:12">
      <c r="A78" s="76"/>
      <c r="B78" s="77"/>
      <c r="C78" s="185"/>
      <c r="D78" s="185"/>
      <c r="E78" s="185"/>
      <c r="F78" s="578"/>
      <c r="H78">
        <v>300</v>
      </c>
      <c r="I78" t="s">
        <v>696</v>
      </c>
    </row>
    <row r="79" spans="1:12">
      <c r="A79" s="289" t="s">
        <v>206</v>
      </c>
      <c r="B79" s="77"/>
      <c r="C79" s="185">
        <v>-397.05000000000109</v>
      </c>
      <c r="D79" s="185">
        <v>-734.48527330289835</v>
      </c>
      <c r="E79" s="185">
        <v>-148.96655234304944</v>
      </c>
      <c r="F79" s="578">
        <v>-1280.5018256459516</v>
      </c>
      <c r="H79">
        <v>500</v>
      </c>
      <c r="I79" t="s">
        <v>704</v>
      </c>
    </row>
    <row r="80" spans="1:12">
      <c r="A80" s="76"/>
      <c r="B80" s="77"/>
      <c r="C80" s="174">
        <v>-8.3353976764593718E-2</v>
      </c>
      <c r="D80" s="174">
        <v>-8.8863336938707363E-2</v>
      </c>
      <c r="E80" s="174">
        <v>-1.8050520622804048E-2</v>
      </c>
      <c r="F80" s="580">
        <v>-6.0169683250737981E-2</v>
      </c>
      <c r="H80" s="70">
        <v>18422.100000000002</v>
      </c>
      <c r="I80" t="s">
        <v>697</v>
      </c>
    </row>
    <row r="81" spans="1:11" ht="13.5" thickBot="1">
      <c r="A81" s="91"/>
      <c r="B81" s="82"/>
      <c r="C81" s="82"/>
      <c r="D81" s="82"/>
      <c r="E81" s="82"/>
      <c r="F81" s="581"/>
      <c r="H81" s="70">
        <v>18381.300973064772</v>
      </c>
      <c r="I81" t="s">
        <v>703</v>
      </c>
    </row>
    <row r="82" spans="1:11">
      <c r="A82" s="827" t="s">
        <v>379</v>
      </c>
      <c r="B82" s="519" t="s">
        <v>233</v>
      </c>
      <c r="C82" s="828" t="s">
        <v>620</v>
      </c>
      <c r="D82" s="828" t="s">
        <v>621</v>
      </c>
      <c r="E82" s="828" t="s">
        <v>619</v>
      </c>
      <c r="F82" s="829" t="s">
        <v>625</v>
      </c>
      <c r="H82" s="399">
        <v>2.2195940861321857E-3</v>
      </c>
      <c r="I82" t="s">
        <v>694</v>
      </c>
    </row>
    <row r="83" spans="1:11">
      <c r="A83" s="76" t="s">
        <v>473</v>
      </c>
      <c r="B83" s="77"/>
      <c r="C83" s="185">
        <v>3980.1584363269212</v>
      </c>
      <c r="D83" s="185">
        <v>6844.429759469248</v>
      </c>
      <c r="E83" s="185">
        <v>7604.645455488514</v>
      </c>
      <c r="F83" s="184">
        <v>18429.233651284681</v>
      </c>
      <c r="G83" s="70"/>
    </row>
    <row r="84" spans="1:11">
      <c r="A84" s="76" t="s">
        <v>474</v>
      </c>
      <c r="B84" s="77"/>
      <c r="C84" s="185">
        <v>91.59</v>
      </c>
      <c r="D84" s="185">
        <v>252.13</v>
      </c>
      <c r="E84" s="185">
        <v>129.85999999999999</v>
      </c>
      <c r="F84" s="184">
        <v>473.58000000000004</v>
      </c>
      <c r="G84" s="70">
        <v>20438.86943484825</v>
      </c>
      <c r="H84" s="70">
        <v>19960.236000000001</v>
      </c>
      <c r="I84" s="71" t="s">
        <v>699</v>
      </c>
      <c r="K84" s="70"/>
    </row>
    <row r="85" spans="1:11">
      <c r="A85" s="76" t="s">
        <v>557</v>
      </c>
      <c r="B85" s="77"/>
      <c r="C85" s="185"/>
      <c r="D85" s="434">
        <v>82.75</v>
      </c>
      <c r="E85" s="185">
        <v>1.98</v>
      </c>
      <c r="F85" s="184">
        <v>84.73</v>
      </c>
      <c r="H85" s="70">
        <v>19580.559434848248</v>
      </c>
      <c r="I85" s="71" t="s">
        <v>700</v>
      </c>
    </row>
    <row r="86" spans="1:11">
      <c r="A86" s="76" t="s">
        <v>625</v>
      </c>
      <c r="B86" s="77"/>
      <c r="C86" s="161">
        <v>4071.7484363269214</v>
      </c>
      <c r="D86" s="161">
        <v>7179.3097594692481</v>
      </c>
      <c r="E86" s="161">
        <v>7736.4854554885133</v>
      </c>
      <c r="F86" s="186">
        <v>18987.543651284683</v>
      </c>
      <c r="H86">
        <v>300</v>
      </c>
      <c r="I86" t="s">
        <v>696</v>
      </c>
    </row>
    <row r="87" spans="1:11">
      <c r="A87" s="76" t="s">
        <v>695</v>
      </c>
      <c r="B87" s="77"/>
      <c r="C87" s="318">
        <v>296.29156367307837</v>
      </c>
      <c r="D87" s="318">
        <v>480.52024053075201</v>
      </c>
      <c r="E87" s="318">
        <v>407.80454451148631</v>
      </c>
      <c r="F87" s="524">
        <v>1184.6163487153167</v>
      </c>
      <c r="H87" s="70">
        <v>19880.559434848248</v>
      </c>
      <c r="I87" s="71" t="s">
        <v>701</v>
      </c>
    </row>
    <row r="88" spans="1:11">
      <c r="A88" s="76" t="s">
        <v>625</v>
      </c>
      <c r="B88" s="77"/>
      <c r="C88" s="185">
        <v>4368.04</v>
      </c>
      <c r="D88" s="185">
        <v>7659.83</v>
      </c>
      <c r="E88" s="185">
        <v>8144.29</v>
      </c>
      <c r="F88" s="184">
        <v>20172.16</v>
      </c>
      <c r="H88" s="70">
        <v>1184.6163487153167</v>
      </c>
      <c r="I88" s="71" t="s">
        <v>874</v>
      </c>
    </row>
    <row r="89" spans="1:11">
      <c r="A89" s="76" t="s">
        <v>970</v>
      </c>
      <c r="B89" s="77"/>
      <c r="C89" s="318">
        <v>18</v>
      </c>
      <c r="D89" s="318">
        <v>25</v>
      </c>
      <c r="E89" s="318">
        <v>23.5</v>
      </c>
      <c r="F89" s="524">
        <v>66.5</v>
      </c>
      <c r="H89" s="70">
        <v>18695.943086132931</v>
      </c>
      <c r="I89" t="s">
        <v>693</v>
      </c>
    </row>
    <row r="90" spans="1:11">
      <c r="A90" s="76" t="s">
        <v>971</v>
      </c>
      <c r="B90" s="77"/>
      <c r="C90" s="185">
        <v>4386.04</v>
      </c>
      <c r="D90" s="185">
        <v>7684.83</v>
      </c>
      <c r="E90" s="185">
        <v>8167.79</v>
      </c>
      <c r="F90" s="184">
        <v>20238.66</v>
      </c>
      <c r="H90" s="399">
        <v>9.2363020852087946E-2</v>
      </c>
      <c r="I90" s="71" t="s">
        <v>945</v>
      </c>
    </row>
    <row r="91" spans="1:11">
      <c r="A91" s="76"/>
      <c r="B91" s="77"/>
      <c r="C91" s="185"/>
      <c r="D91" s="185"/>
      <c r="E91" s="185"/>
      <c r="F91" s="184"/>
      <c r="H91" s="399">
        <v>8.5570678680725529E-3</v>
      </c>
      <c r="I91" s="71" t="s">
        <v>946</v>
      </c>
    </row>
    <row r="92" spans="1:11">
      <c r="A92" s="289" t="s">
        <v>234</v>
      </c>
      <c r="B92" s="77"/>
      <c r="C92" s="185">
        <v>19.670000000000073</v>
      </c>
      <c r="D92" s="185">
        <v>153.97999999999956</v>
      </c>
      <c r="E92" s="185">
        <v>64</v>
      </c>
      <c r="F92" s="184">
        <v>237.64999999999782</v>
      </c>
      <c r="H92" s="399">
        <v>1.1881899964051756E-2</v>
      </c>
      <c r="I92" s="71" t="s">
        <v>972</v>
      </c>
    </row>
    <row r="93" spans="1:11">
      <c r="A93" s="76"/>
      <c r="B93" s="77"/>
      <c r="C93" s="174">
        <v>4.5048862098264857E-3</v>
      </c>
      <c r="D93" s="174">
        <v>2.0446563136963233E-2</v>
      </c>
      <c r="E93" s="174">
        <v>7.8975392995129443E-3</v>
      </c>
      <c r="F93" s="175">
        <v>1.1881899964051704E-2</v>
      </c>
    </row>
    <row r="94" spans="1:11" ht="13.5" thickBot="1">
      <c r="A94" s="91"/>
      <c r="B94" s="82"/>
      <c r="C94" s="82"/>
      <c r="D94" s="82"/>
      <c r="E94" s="82"/>
      <c r="F94" s="83"/>
      <c r="H94" s="399"/>
    </row>
    <row r="95" spans="1:11" ht="13.5" thickBot="1">
      <c r="A95" s="76" t="s">
        <v>475</v>
      </c>
      <c r="B95" s="852" t="s">
        <v>1098</v>
      </c>
      <c r="C95" s="830" t="s">
        <v>620</v>
      </c>
      <c r="D95" s="830" t="s">
        <v>621</v>
      </c>
      <c r="E95" s="830" t="s">
        <v>619</v>
      </c>
      <c r="F95" s="831" t="s">
        <v>625</v>
      </c>
    </row>
    <row r="96" spans="1:11">
      <c r="A96" s="832" t="s">
        <v>473</v>
      </c>
      <c r="B96" s="74"/>
      <c r="C96" s="833">
        <v>3942.8542181634607</v>
      </c>
      <c r="D96" s="833">
        <v>6496.7398797346241</v>
      </c>
      <c r="E96" s="833">
        <v>7462.0977277442571</v>
      </c>
      <c r="F96" s="834">
        <v>17901.691825642341</v>
      </c>
      <c r="K96" s="70">
        <v>18494</v>
      </c>
    </row>
    <row r="97" spans="1:11">
      <c r="A97" s="76" t="s">
        <v>474</v>
      </c>
      <c r="B97" s="77"/>
      <c r="C97" s="185">
        <v>115.88</v>
      </c>
      <c r="D97" s="185">
        <v>300</v>
      </c>
      <c r="E97" s="185">
        <v>158.69</v>
      </c>
      <c r="F97" s="184">
        <v>574.56999999999994</v>
      </c>
      <c r="H97" s="70">
        <v>19580.559434848248</v>
      </c>
      <c r="I97" s="523" t="s">
        <v>818</v>
      </c>
    </row>
    <row r="98" spans="1:11">
      <c r="A98" s="76" t="s">
        <v>557</v>
      </c>
      <c r="B98" s="77"/>
      <c r="C98" s="185">
        <v>0</v>
      </c>
      <c r="D98" s="185">
        <v>1.5809523809523809</v>
      </c>
      <c r="E98" s="185">
        <v>2</v>
      </c>
      <c r="F98" s="184">
        <v>3.5809523809523807</v>
      </c>
      <c r="H98" s="158">
        <v>18494</v>
      </c>
      <c r="I98" s="71" t="s">
        <v>819</v>
      </c>
    </row>
    <row r="99" spans="1:11">
      <c r="A99" s="76" t="s">
        <v>625</v>
      </c>
      <c r="B99" s="77"/>
      <c r="C99" s="161">
        <v>4058.7342181634608</v>
      </c>
      <c r="D99" s="161">
        <v>6798.3208321155762</v>
      </c>
      <c r="E99" s="161">
        <v>7622.7877277442567</v>
      </c>
      <c r="F99" s="186">
        <v>18479.842778023292</v>
      </c>
      <c r="H99">
        <v>300</v>
      </c>
      <c r="I99" t="s">
        <v>696</v>
      </c>
    </row>
    <row r="100" spans="1:11">
      <c r="A100" s="76" t="s">
        <v>695</v>
      </c>
      <c r="B100" s="77"/>
      <c r="C100" s="318">
        <v>148.14578183653919</v>
      </c>
      <c r="D100" s="318">
        <v>240.260120265376</v>
      </c>
      <c r="E100" s="318">
        <v>203.90227225574316</v>
      </c>
      <c r="F100" s="524">
        <v>592.30817435765834</v>
      </c>
      <c r="H100" s="70">
        <v>18794</v>
      </c>
      <c r="I100" s="71" t="s">
        <v>701</v>
      </c>
    </row>
    <row r="101" spans="1:11">
      <c r="A101" s="76" t="s">
        <v>625</v>
      </c>
      <c r="B101" s="77"/>
      <c r="C101" s="185">
        <v>4206.88</v>
      </c>
      <c r="D101" s="185">
        <v>7038.5809523809521</v>
      </c>
      <c r="E101" s="185">
        <v>7826.69</v>
      </c>
      <c r="F101" s="184">
        <v>19072.150952380951</v>
      </c>
      <c r="H101" s="70">
        <v>592.30817435765834</v>
      </c>
      <c r="I101" s="71" t="s">
        <v>702</v>
      </c>
    </row>
    <row r="102" spans="1:11">
      <c r="A102" s="76" t="s">
        <v>970</v>
      </c>
      <c r="B102" s="77"/>
      <c r="C102" s="318">
        <v>-1.5</v>
      </c>
      <c r="D102" s="318">
        <v>66</v>
      </c>
      <c r="E102" s="318">
        <v>30.5</v>
      </c>
      <c r="F102" s="524">
        <v>95</v>
      </c>
      <c r="H102" s="70">
        <v>18201.691825642341</v>
      </c>
      <c r="I102" t="s">
        <v>693</v>
      </c>
    </row>
    <row r="103" spans="1:11">
      <c r="A103" s="76" t="s">
        <v>971</v>
      </c>
      <c r="B103" s="77"/>
      <c r="C103" s="185">
        <v>4205.38</v>
      </c>
      <c r="D103" s="185">
        <v>7104.5809523809521</v>
      </c>
      <c r="E103" s="185">
        <v>7857.19</v>
      </c>
      <c r="F103" s="184">
        <v>19167.150952380951</v>
      </c>
      <c r="H103" s="399">
        <v>-1.2346787172372697E-2</v>
      </c>
      <c r="I103" s="71" t="s">
        <v>945</v>
      </c>
    </row>
    <row r="104" spans="1:11">
      <c r="A104" s="76"/>
      <c r="B104" s="77"/>
      <c r="C104" s="185"/>
      <c r="D104" s="185"/>
      <c r="E104" s="185"/>
      <c r="F104" s="184"/>
      <c r="H104" s="399">
        <v>-5.4531049110211748E-2</v>
      </c>
      <c r="I104" s="71" t="s">
        <v>946</v>
      </c>
    </row>
    <row r="105" spans="1:11">
      <c r="A105" s="289" t="s">
        <v>18</v>
      </c>
      <c r="B105" s="77"/>
      <c r="C105" s="185">
        <v>-180.65999999999985</v>
      </c>
      <c r="D105" s="185">
        <v>-580.24904761904781</v>
      </c>
      <c r="E105" s="185">
        <v>-310.60000000000036</v>
      </c>
      <c r="F105" s="184">
        <v>-1071.5090476190489</v>
      </c>
      <c r="H105" s="836">
        <v>-5.2943675501196719E-2</v>
      </c>
      <c r="I105" s="652" t="s">
        <v>972</v>
      </c>
      <c r="K105" s="70"/>
    </row>
    <row r="106" spans="1:11">
      <c r="A106" s="76"/>
      <c r="B106" s="77"/>
      <c r="C106" s="174">
        <v>-4.1189774831054862E-2</v>
      </c>
      <c r="D106" s="174">
        <v>-7.5505775354698518E-2</v>
      </c>
      <c r="E106" s="174">
        <v>-3.8027422350476736E-2</v>
      </c>
      <c r="F106" s="175">
        <v>-5.294367550119667E-2</v>
      </c>
    </row>
    <row r="107" spans="1:11" ht="13.5" thickBot="1">
      <c r="A107" s="91"/>
      <c r="B107" s="82"/>
      <c r="C107" s="82"/>
      <c r="D107" s="82"/>
      <c r="E107" s="82"/>
      <c r="F107" s="83"/>
    </row>
    <row r="108" spans="1:11">
      <c r="A108" s="835" t="s">
        <v>475</v>
      </c>
      <c r="B108" s="994" t="s">
        <v>1170</v>
      </c>
      <c r="C108" s="828" t="s">
        <v>620</v>
      </c>
      <c r="D108" s="828" t="s">
        <v>621</v>
      </c>
      <c r="E108" s="828" t="s">
        <v>619</v>
      </c>
      <c r="F108" s="829" t="s">
        <v>625</v>
      </c>
      <c r="H108" s="70">
        <v>19167.150952380951</v>
      </c>
      <c r="I108" s="624" t="s">
        <v>23</v>
      </c>
    </row>
    <row r="109" spans="1:11">
      <c r="A109" s="76" t="s">
        <v>473</v>
      </c>
      <c r="B109" s="77"/>
      <c r="C109" s="185">
        <v>3945</v>
      </c>
      <c r="D109" s="185">
        <v>6340</v>
      </c>
      <c r="E109" s="185">
        <v>7707</v>
      </c>
      <c r="F109" s="184">
        <v>17992</v>
      </c>
      <c r="H109" s="158">
        <v>19444</v>
      </c>
      <c r="I109" s="71" t="s">
        <v>887</v>
      </c>
    </row>
    <row r="110" spans="1:11">
      <c r="A110" s="76" t="s">
        <v>474</v>
      </c>
      <c r="B110" s="77"/>
      <c r="C110" s="185">
        <v>106</v>
      </c>
      <c r="D110" s="185">
        <v>302</v>
      </c>
      <c r="E110" s="185">
        <v>142.5</v>
      </c>
      <c r="F110" s="184">
        <v>550.5</v>
      </c>
      <c r="H110">
        <v>0</v>
      </c>
      <c r="I110" t="s">
        <v>696</v>
      </c>
    </row>
    <row r="111" spans="1:11">
      <c r="A111" s="76" t="s">
        <v>557</v>
      </c>
      <c r="B111" s="77"/>
      <c r="C111" s="185">
        <v>0</v>
      </c>
      <c r="D111" s="185">
        <v>62</v>
      </c>
      <c r="E111" s="185">
        <v>2</v>
      </c>
      <c r="F111" s="184">
        <v>64</v>
      </c>
      <c r="H111" s="70">
        <v>19444</v>
      </c>
      <c r="I111" s="71" t="s">
        <v>701</v>
      </c>
    </row>
    <row r="112" spans="1:11">
      <c r="A112" s="76" t="s">
        <v>625</v>
      </c>
      <c r="B112" s="77"/>
      <c r="C112" s="161">
        <v>4051</v>
      </c>
      <c r="D112" s="161">
        <v>6704</v>
      </c>
      <c r="E112" s="161">
        <v>7851.5</v>
      </c>
      <c r="F112" s="186">
        <v>18606.5</v>
      </c>
      <c r="H112" s="70">
        <v>0</v>
      </c>
      <c r="I112" s="71" t="s">
        <v>702</v>
      </c>
    </row>
    <row r="113" spans="1:13">
      <c r="A113" s="76" t="s">
        <v>695</v>
      </c>
      <c r="B113" s="77"/>
      <c r="C113" s="318">
        <v>0</v>
      </c>
      <c r="D113" s="318">
        <v>0</v>
      </c>
      <c r="E113" s="318">
        <v>0</v>
      </c>
      <c r="F113" s="524">
        <v>0</v>
      </c>
      <c r="H113" s="70">
        <v>19444</v>
      </c>
      <c r="I113" t="s">
        <v>693</v>
      </c>
    </row>
    <row r="114" spans="1:13">
      <c r="A114" s="76" t="s">
        <v>625</v>
      </c>
      <c r="B114" s="77"/>
      <c r="C114" s="185">
        <v>4051</v>
      </c>
      <c r="D114" s="185">
        <v>6704</v>
      </c>
      <c r="E114" s="185">
        <v>7851.5</v>
      </c>
      <c r="F114" s="184">
        <v>18606.5</v>
      </c>
      <c r="H114" s="399">
        <v>-2.4415230014883008E-2</v>
      </c>
      <c r="I114" s="71" t="s">
        <v>1027</v>
      </c>
    </row>
    <row r="115" spans="1:13">
      <c r="A115" s="76" t="s">
        <v>970</v>
      </c>
      <c r="B115" s="77"/>
      <c r="C115" s="318">
        <v>46</v>
      </c>
      <c r="D115" s="318">
        <v>202</v>
      </c>
      <c r="E115" s="318">
        <v>87.5</v>
      </c>
      <c r="F115" s="524">
        <v>335.5</v>
      </c>
      <c r="G115" s="239">
        <v>2.5315789473684212</v>
      </c>
      <c r="H115" s="836">
        <v>-1.1746709406124989E-2</v>
      </c>
      <c r="I115" s="652" t="s">
        <v>972</v>
      </c>
    </row>
    <row r="116" spans="1:13">
      <c r="A116" s="76" t="s">
        <v>971</v>
      </c>
      <c r="B116" s="77"/>
      <c r="C116" s="185">
        <v>4097</v>
      </c>
      <c r="D116" s="185">
        <v>6906</v>
      </c>
      <c r="E116" s="185">
        <v>7939</v>
      </c>
      <c r="F116" s="184">
        <v>18942</v>
      </c>
      <c r="I116" s="652" t="s">
        <v>875</v>
      </c>
    </row>
    <row r="117" spans="1:13">
      <c r="A117" s="76"/>
      <c r="B117" s="77"/>
      <c r="C117" s="185"/>
      <c r="D117" s="185"/>
      <c r="E117" s="185"/>
      <c r="F117" s="184"/>
    </row>
    <row r="118" spans="1:13">
      <c r="A118" s="289" t="s">
        <v>973</v>
      </c>
      <c r="B118" s="77"/>
      <c r="C118" s="185">
        <v>-108.38000000000011</v>
      </c>
      <c r="D118" s="185">
        <v>-198.58095238095211</v>
      </c>
      <c r="E118" s="185">
        <v>81.8100000000004</v>
      </c>
      <c r="F118" s="184">
        <v>-225.15095238095091</v>
      </c>
    </row>
    <row r="119" spans="1:13">
      <c r="A119" s="76"/>
      <c r="B119" s="77"/>
      <c r="C119" s="174">
        <v>-2.5771749520851886E-2</v>
      </c>
      <c r="D119" s="174">
        <v>-2.7951114036416442E-2</v>
      </c>
      <c r="E119" s="174">
        <v>1.0412119345465798E-2</v>
      </c>
      <c r="F119" s="175">
        <v>-1.1746709406124992E-2</v>
      </c>
    </row>
    <row r="120" spans="1:13" ht="13.5" thickBot="1">
      <c r="A120" s="91"/>
      <c r="B120" s="82"/>
      <c r="C120" s="82"/>
      <c r="D120" s="82"/>
      <c r="E120" s="82"/>
      <c r="F120" s="83"/>
    </row>
    <row r="121" spans="1:13">
      <c r="A121" s="835" t="s">
        <v>475</v>
      </c>
      <c r="B121" s="994" t="s">
        <v>1307</v>
      </c>
      <c r="C121" s="828" t="s">
        <v>620</v>
      </c>
      <c r="D121" s="828" t="s">
        <v>621</v>
      </c>
      <c r="E121" s="828" t="s">
        <v>619</v>
      </c>
      <c r="F121" s="829" t="s">
        <v>625</v>
      </c>
      <c r="H121" s="70">
        <v>19444</v>
      </c>
      <c r="I121" s="624" t="s">
        <v>826</v>
      </c>
    </row>
    <row r="122" spans="1:13">
      <c r="A122" s="76" t="s">
        <v>473</v>
      </c>
      <c r="B122" s="77"/>
      <c r="C122" s="185">
        <v>3817.9599999999996</v>
      </c>
      <c r="D122" s="185">
        <v>6158.9665519033269</v>
      </c>
      <c r="E122" s="185">
        <v>7343.5494179906873</v>
      </c>
      <c r="F122" s="184">
        <v>17320.475969894014</v>
      </c>
      <c r="H122" s="158">
        <v>18625.39383296431</v>
      </c>
      <c r="I122" s="71" t="s">
        <v>998</v>
      </c>
    </row>
    <row r="123" spans="1:13">
      <c r="A123" s="76" t="s">
        <v>474</v>
      </c>
      <c r="B123" s="77"/>
      <c r="C123" s="185">
        <v>91.97999999999999</v>
      </c>
      <c r="D123" s="185">
        <v>130.6346714068909</v>
      </c>
      <c r="E123" s="185">
        <v>111.63938213959466</v>
      </c>
      <c r="F123" s="184">
        <v>334.25405354648558</v>
      </c>
      <c r="H123">
        <v>0</v>
      </c>
      <c r="I123" t="s">
        <v>696</v>
      </c>
    </row>
    <row r="124" spans="1:13">
      <c r="A124" s="76" t="s">
        <v>557</v>
      </c>
      <c r="B124" s="77"/>
      <c r="C124" s="185">
        <v>0</v>
      </c>
      <c r="D124" s="185">
        <v>64.097142857142856</v>
      </c>
      <c r="E124" s="185">
        <v>5.0666666666666664</v>
      </c>
      <c r="F124" s="184">
        <v>69.163809523809519</v>
      </c>
      <c r="H124" s="70">
        <v>18625.39383296431</v>
      </c>
      <c r="I124" s="71" t="s">
        <v>701</v>
      </c>
    </row>
    <row r="125" spans="1:13">
      <c r="A125" s="76" t="s">
        <v>625</v>
      </c>
      <c r="B125" s="77"/>
      <c r="C125" s="161">
        <v>3909.9399999999996</v>
      </c>
      <c r="D125" s="161">
        <v>6353.6983661673603</v>
      </c>
      <c r="E125" s="161">
        <v>7460.2554667969489</v>
      </c>
      <c r="F125" s="186">
        <v>17723.89383296431</v>
      </c>
      <c r="H125" s="70">
        <v>0</v>
      </c>
      <c r="I125" s="71" t="s">
        <v>702</v>
      </c>
    </row>
    <row r="126" spans="1:13">
      <c r="A126" s="76" t="s">
        <v>695</v>
      </c>
      <c r="B126" s="77"/>
      <c r="C126" s="318">
        <v>0</v>
      </c>
      <c r="D126" s="318">
        <v>0</v>
      </c>
      <c r="E126" s="318">
        <v>0</v>
      </c>
      <c r="F126" s="524">
        <v>0</v>
      </c>
      <c r="H126" s="70">
        <v>18625.39383296431</v>
      </c>
      <c r="I126" t="s">
        <v>693</v>
      </c>
    </row>
    <row r="127" spans="1:13">
      <c r="A127" s="76" t="s">
        <v>625</v>
      </c>
      <c r="B127" s="77"/>
      <c r="C127" s="185">
        <v>3909.9399999999996</v>
      </c>
      <c r="D127" s="185">
        <v>6353.6983661673603</v>
      </c>
      <c r="E127" s="185">
        <v>7460.2554667969489</v>
      </c>
      <c r="F127" s="184">
        <v>17723.89383296431</v>
      </c>
      <c r="H127" s="399">
        <v>-4.7435367588514243E-2</v>
      </c>
      <c r="I127" s="71" t="s">
        <v>1171</v>
      </c>
    </row>
    <row r="128" spans="1:13">
      <c r="A128" s="76" t="s">
        <v>970</v>
      </c>
      <c r="B128" s="77"/>
      <c r="C128" s="318">
        <v>146.5</v>
      </c>
      <c r="D128" s="318">
        <v>557</v>
      </c>
      <c r="E128" s="318">
        <v>198</v>
      </c>
      <c r="F128" s="524">
        <v>901.5</v>
      </c>
      <c r="G128" s="239">
        <v>1.6870342771982116</v>
      </c>
      <c r="H128" s="836">
        <v>-1.6714505703499638E-2</v>
      </c>
      <c r="I128" s="652" t="s">
        <v>972</v>
      </c>
      <c r="L128" s="70">
        <v>1235.7540535464855</v>
      </c>
      <c r="M128" s="71" t="s">
        <v>625</v>
      </c>
    </row>
    <row r="129" spans="1:20">
      <c r="A129" s="76" t="s">
        <v>971</v>
      </c>
      <c r="B129" s="77"/>
      <c r="C129" s="185">
        <v>4056.4399999999996</v>
      </c>
      <c r="D129" s="185">
        <v>6910.6983661673603</v>
      </c>
      <c r="E129" s="185">
        <v>7658.2554667969489</v>
      </c>
      <c r="F129" s="184">
        <v>18625.39383296431</v>
      </c>
      <c r="I129" s="652" t="s">
        <v>875</v>
      </c>
      <c r="L129" s="70">
        <v>1080.5</v>
      </c>
      <c r="M129" s="71" t="s">
        <v>1227</v>
      </c>
    </row>
    <row r="130" spans="1:20">
      <c r="A130" s="76"/>
      <c r="B130" s="77"/>
      <c r="C130" s="185"/>
      <c r="D130" s="185"/>
      <c r="E130" s="185"/>
      <c r="F130" s="184"/>
      <c r="L130" s="70">
        <v>155.25405354648547</v>
      </c>
      <c r="M130" s="71" t="s">
        <v>1228</v>
      </c>
    </row>
    <row r="131" spans="1:20">
      <c r="A131" s="289" t="s">
        <v>974</v>
      </c>
      <c r="B131" s="77"/>
      <c r="C131" s="185">
        <v>-40.5600000000004</v>
      </c>
      <c r="D131" s="185">
        <v>4.698366167360291</v>
      </c>
      <c r="E131" s="185">
        <v>-280.74453320305111</v>
      </c>
      <c r="F131" s="184">
        <v>-316.60616703569031</v>
      </c>
      <c r="H131" s="836"/>
      <c r="I131" s="652"/>
    </row>
    <row r="132" spans="1:20" ht="15">
      <c r="A132" s="76"/>
      <c r="B132" s="77"/>
      <c r="C132" s="174">
        <v>-9.899926775689627E-3</v>
      </c>
      <c r="D132" s="174">
        <v>6.8033104074142646E-4</v>
      </c>
      <c r="E132" s="174">
        <v>-3.5362707293494285E-2</v>
      </c>
      <c r="F132" s="175">
        <v>-1.6714505703499645E-2</v>
      </c>
      <c r="L132" s="1033">
        <v>5986831.5</v>
      </c>
      <c r="M132" s="71" t="s">
        <v>625</v>
      </c>
    </row>
    <row r="133" spans="1:20" ht="13.5" thickBot="1">
      <c r="A133" s="91"/>
      <c r="B133" s="82"/>
      <c r="C133" s="82"/>
      <c r="D133" s="82"/>
      <c r="E133" s="82"/>
      <c r="F133" s="83"/>
      <c r="L133" s="338">
        <v>5234675.4738010364</v>
      </c>
    </row>
    <row r="134" spans="1:20" s="475" customFormat="1">
      <c r="A134" s="1271" t="s">
        <v>475</v>
      </c>
      <c r="B134" s="1272" t="s">
        <v>1555</v>
      </c>
      <c r="C134" s="1273" t="s">
        <v>620</v>
      </c>
      <c r="D134" s="1273" t="s">
        <v>621</v>
      </c>
      <c r="E134" s="1273" t="s">
        <v>619</v>
      </c>
      <c r="F134" s="1274" t="s">
        <v>625</v>
      </c>
      <c r="H134" s="1275">
        <v>18625.39383296431</v>
      </c>
      <c r="I134" s="624" t="s">
        <v>934</v>
      </c>
    </row>
    <row r="135" spans="1:20" s="475" customFormat="1">
      <c r="A135" s="1276" t="s">
        <v>473</v>
      </c>
      <c r="B135" s="1277"/>
      <c r="C135" s="317">
        <v>3673.31</v>
      </c>
      <c r="D135" s="317">
        <v>5849.1987923222187</v>
      </c>
      <c r="E135" s="317">
        <v>6884.1896841783328</v>
      </c>
      <c r="F135" s="1278">
        <v>16406.698476500551</v>
      </c>
      <c r="H135" s="1279">
        <v>18144.006971499886</v>
      </c>
      <c r="I135" s="384" t="s">
        <v>1013</v>
      </c>
      <c r="L135" s="1280">
        <v>4844.6788281360814</v>
      </c>
    </row>
    <row r="136" spans="1:20" s="475" customFormat="1">
      <c r="A136" s="1276" t="s">
        <v>474</v>
      </c>
      <c r="B136" s="1277"/>
      <c r="C136" s="317">
        <v>148.61000000000001</v>
      </c>
      <c r="D136" s="317">
        <v>274.43656510903588</v>
      </c>
      <c r="E136" s="1281">
        <v>172.98183465220262</v>
      </c>
      <c r="F136" s="1278">
        <v>596.02839976123846</v>
      </c>
      <c r="H136" s="475">
        <v>0</v>
      </c>
      <c r="I136" s="475" t="s">
        <v>696</v>
      </c>
      <c r="L136" s="475">
        <v>18.561987847264678</v>
      </c>
    </row>
    <row r="137" spans="1:20" s="475" customFormat="1">
      <c r="A137" s="1276" t="s">
        <v>557</v>
      </c>
      <c r="B137" s="1277"/>
      <c r="C137" s="317">
        <v>0</v>
      </c>
      <c r="D137" s="317">
        <v>94.478095238095236</v>
      </c>
      <c r="E137" s="317">
        <v>2.802</v>
      </c>
      <c r="F137" s="1278">
        <v>97.280095238095242</v>
      </c>
      <c r="H137" s="1275">
        <v>18144.006971499886</v>
      </c>
      <c r="I137" s="384" t="s">
        <v>701</v>
      </c>
    </row>
    <row r="138" spans="1:20" s="475" customFormat="1">
      <c r="A138" s="1276" t="s">
        <v>1505</v>
      </c>
      <c r="B138" s="1277"/>
      <c r="C138" s="1282">
        <v>137</v>
      </c>
      <c r="D138" s="1282">
        <v>672.5</v>
      </c>
      <c r="E138" s="1282">
        <v>234.5</v>
      </c>
      <c r="F138" s="1283">
        <v>1044</v>
      </c>
      <c r="G138" s="1284">
        <v>0.15806988352745432</v>
      </c>
      <c r="H138" s="1285">
        <v>-5.2757065971037222E-2</v>
      </c>
      <c r="I138" s="384" t="s">
        <v>1027</v>
      </c>
    </row>
    <row r="139" spans="1:20" s="475" customFormat="1">
      <c r="A139" s="1276" t="s">
        <v>971</v>
      </c>
      <c r="B139" s="1277"/>
      <c r="C139" s="317">
        <v>3958.92</v>
      </c>
      <c r="D139" s="317">
        <v>6890.6134526693495</v>
      </c>
      <c r="E139" s="317">
        <v>7294.4735188305349</v>
      </c>
      <c r="F139" s="1278">
        <v>18144.006971499886</v>
      </c>
      <c r="H139" s="1286">
        <v>-2.5845727922941264E-2</v>
      </c>
      <c r="I139" s="1266" t="s">
        <v>972</v>
      </c>
    </row>
    <row r="140" spans="1:20" s="475" customFormat="1">
      <c r="A140" s="1276"/>
      <c r="B140" s="1277"/>
      <c r="C140" s="317"/>
      <c r="D140" s="317"/>
      <c r="E140" s="317"/>
      <c r="F140" s="1278"/>
      <c r="I140" s="1266"/>
    </row>
    <row r="141" spans="1:20" s="475" customFormat="1">
      <c r="A141" s="1287" t="s">
        <v>999</v>
      </c>
      <c r="B141" s="1277"/>
      <c r="C141" s="317">
        <v>-97.519999999999527</v>
      </c>
      <c r="D141" s="317">
        <v>-20.084913498010792</v>
      </c>
      <c r="E141" s="317">
        <v>-363.78194796641401</v>
      </c>
      <c r="F141" s="1278">
        <v>-481.38686146442342</v>
      </c>
    </row>
    <row r="142" spans="1:20" s="475" customFormat="1">
      <c r="A142" s="1276"/>
      <c r="B142" s="1277"/>
      <c r="C142" s="1288">
        <v>-2.4040784530277665E-2</v>
      </c>
      <c r="D142" s="1288">
        <v>-2.9063507671439272E-3</v>
      </c>
      <c r="E142" s="1288">
        <v>-4.7501934290860783E-2</v>
      </c>
      <c r="F142" s="1289">
        <v>-2.584572792294125E-2</v>
      </c>
      <c r="H142" s="1286"/>
      <c r="I142" s="1266"/>
      <c r="P142" s="475" t="s">
        <v>1624</v>
      </c>
      <c r="Q142" s="475" t="s">
        <v>225</v>
      </c>
    </row>
    <row r="143" spans="1:20" s="475" customFormat="1" ht="13.5" thickBot="1">
      <c r="A143" s="1290"/>
      <c r="B143" s="1291"/>
      <c r="C143" s="1291"/>
      <c r="D143" s="1291"/>
      <c r="E143" s="1291"/>
      <c r="F143" s="1292"/>
    </row>
    <row r="144" spans="1:20" s="475" customFormat="1">
      <c r="A144" s="1474" t="s">
        <v>475</v>
      </c>
      <c r="B144" s="1475" t="s">
        <v>1761</v>
      </c>
      <c r="C144" s="1476" t="s">
        <v>620</v>
      </c>
      <c r="D144" s="1476" t="s">
        <v>621</v>
      </c>
      <c r="E144" s="1476" t="s">
        <v>619</v>
      </c>
      <c r="F144" s="1477" t="s">
        <v>625</v>
      </c>
      <c r="G144" s="1478" t="s">
        <v>1566</v>
      </c>
      <c r="L144" s="475" t="s">
        <v>1623</v>
      </c>
      <c r="M144" s="1234" t="s">
        <v>1711</v>
      </c>
      <c r="N144" s="1234"/>
      <c r="O144" s="475" t="s">
        <v>475</v>
      </c>
      <c r="P144" s="475" t="s">
        <v>1012</v>
      </c>
      <c r="Q144" s="475" t="s">
        <v>620</v>
      </c>
      <c r="R144" s="475" t="s">
        <v>621</v>
      </c>
      <c r="S144" s="475" t="s">
        <v>619</v>
      </c>
      <c r="T144" s="475" t="s">
        <v>625</v>
      </c>
    </row>
    <row r="145" spans="1:22" s="1266" customFormat="1">
      <c r="A145" s="1813" t="s">
        <v>473</v>
      </c>
      <c r="B145" s="1814"/>
      <c r="C145" s="1815">
        <v>3394.65</v>
      </c>
      <c r="D145" s="1815">
        <v>5672.54</v>
      </c>
      <c r="E145" s="1815">
        <v>6655.3</v>
      </c>
      <c r="F145" s="1816">
        <v>15722.490000000002</v>
      </c>
      <c r="H145" s="1704">
        <v>18144.006971499886</v>
      </c>
      <c r="I145" s="1705" t="s">
        <v>1006</v>
      </c>
      <c r="O145" s="1266" t="s">
        <v>473</v>
      </c>
      <c r="Q145" s="1706">
        <v>3561.89</v>
      </c>
      <c r="R145" s="1706">
        <v>5851.0853396528692</v>
      </c>
      <c r="S145" s="1706">
        <v>6855.2161653477979</v>
      </c>
      <c r="T145" s="1706">
        <v>16268.191505000666</v>
      </c>
    </row>
    <row r="146" spans="1:22" s="1266" customFormat="1">
      <c r="A146" s="1813" t="s">
        <v>474</v>
      </c>
      <c r="B146" s="1814"/>
      <c r="C146" s="1815">
        <v>148.58999999999997</v>
      </c>
      <c r="D146" s="1815">
        <v>286.76</v>
      </c>
      <c r="E146" s="1815">
        <v>192.82</v>
      </c>
      <c r="F146" s="1816">
        <v>628.16999999999996</v>
      </c>
      <c r="H146" s="1707">
        <v>17594.828571428574</v>
      </c>
      <c r="I146" s="1266" t="s">
        <v>1172</v>
      </c>
      <c r="O146" s="1266" t="s">
        <v>474</v>
      </c>
      <c r="Q146" s="1706">
        <v>148.61000000000001</v>
      </c>
      <c r="R146" s="1706">
        <v>274.43656510903588</v>
      </c>
      <c r="S146" s="1706">
        <v>172.98183465220262</v>
      </c>
      <c r="T146" s="1706">
        <v>596.02839976123846</v>
      </c>
    </row>
    <row r="147" spans="1:22" s="1266" customFormat="1">
      <c r="A147" s="1813" t="s">
        <v>557</v>
      </c>
      <c r="B147" s="1814"/>
      <c r="C147" s="1815">
        <v>0</v>
      </c>
      <c r="D147" s="1815">
        <v>96.872380952380951</v>
      </c>
      <c r="E147" s="1815">
        <v>1.2961904761904761</v>
      </c>
      <c r="F147" s="1816">
        <v>98.168571428571425</v>
      </c>
      <c r="H147" s="1266">
        <v>0</v>
      </c>
      <c r="I147" s="1266" t="s">
        <v>696</v>
      </c>
      <c r="O147" s="1266" t="s">
        <v>557</v>
      </c>
      <c r="Q147" s="1706">
        <v>0</v>
      </c>
      <c r="R147" s="1706">
        <v>94.478095238095236</v>
      </c>
      <c r="S147" s="1706">
        <v>2.802</v>
      </c>
      <c r="T147" s="1706">
        <v>97.280095238095242</v>
      </c>
    </row>
    <row r="148" spans="1:22" s="860" customFormat="1">
      <c r="A148" s="1817" t="s">
        <v>1505</v>
      </c>
      <c r="B148" s="1818"/>
      <c r="C148" s="1819">
        <v>118</v>
      </c>
      <c r="D148" s="1819">
        <v>759.5</v>
      </c>
      <c r="E148" s="1819">
        <v>268.5</v>
      </c>
      <c r="F148" s="1820">
        <v>1146</v>
      </c>
      <c r="G148" s="1708">
        <v>9.7701149425287293E-2</v>
      </c>
      <c r="H148" s="1709">
        <v>17594.828571428574</v>
      </c>
      <c r="I148" s="860" t="s">
        <v>701</v>
      </c>
      <c r="K148" s="860" t="s">
        <v>1566</v>
      </c>
      <c r="O148" s="860" t="s">
        <v>1505</v>
      </c>
      <c r="Q148" s="1710">
        <v>141.5</v>
      </c>
      <c r="R148" s="1710">
        <v>725</v>
      </c>
      <c r="S148" s="1710">
        <v>315</v>
      </c>
      <c r="T148" s="1710">
        <v>1181.5</v>
      </c>
    </row>
    <row r="149" spans="1:22" s="1266" customFormat="1">
      <c r="A149" s="1813" t="s">
        <v>971</v>
      </c>
      <c r="B149" s="1814"/>
      <c r="C149" s="1815">
        <v>3661.2400000000002</v>
      </c>
      <c r="D149" s="1815">
        <v>6815.672380952381</v>
      </c>
      <c r="E149" s="1815">
        <v>7117.9161904761904</v>
      </c>
      <c r="F149" s="1816">
        <v>17594.828571428574</v>
      </c>
      <c r="H149" s="1286">
        <v>-4.1702995729490988E-2</v>
      </c>
      <c r="I149" s="1266" t="s">
        <v>1027</v>
      </c>
      <c r="O149" s="1266" t="s">
        <v>971</v>
      </c>
      <c r="Q149" s="1706">
        <v>3852</v>
      </c>
      <c r="R149" s="1706">
        <v>6945</v>
      </c>
      <c r="S149" s="1706">
        <v>7346</v>
      </c>
      <c r="T149" s="1706">
        <v>18143</v>
      </c>
    </row>
    <row r="150" spans="1:22" s="475" customFormat="1">
      <c r="A150" s="1276"/>
      <c r="B150" s="1277"/>
      <c r="C150" s="317"/>
      <c r="D150" s="317"/>
      <c r="E150" s="317"/>
      <c r="F150" s="1278"/>
      <c r="H150" s="1286">
        <v>-3.0267757333534262E-2</v>
      </c>
      <c r="I150" s="1266" t="s">
        <v>972</v>
      </c>
      <c r="Q150" s="1457"/>
      <c r="R150" s="1457"/>
      <c r="S150" s="1457"/>
      <c r="T150" s="1457"/>
      <c r="V150" s="1284">
        <v>-3.0213935323343821E-2</v>
      </c>
    </row>
    <row r="151" spans="1:22" s="475" customFormat="1">
      <c r="A151" s="1287" t="s">
        <v>1014</v>
      </c>
      <c r="B151" s="1277"/>
      <c r="C151" s="317">
        <v>-297.67999999999984</v>
      </c>
      <c r="D151" s="317">
        <v>-74.941071716968509</v>
      </c>
      <c r="E151" s="317">
        <v>-176.55732835434446</v>
      </c>
      <c r="F151" s="1278">
        <v>-549.17840007131235</v>
      </c>
      <c r="I151" s="1266" t="s">
        <v>875</v>
      </c>
      <c r="O151" s="475" t="s">
        <v>1014</v>
      </c>
      <c r="Q151" s="1457">
        <v>-106.92000000000007</v>
      </c>
      <c r="R151" s="1457">
        <v>54.386547330650501</v>
      </c>
      <c r="S151" s="1457">
        <v>51.526481169465114</v>
      </c>
      <c r="T151" s="1457">
        <v>-1.0069714998862764</v>
      </c>
    </row>
    <row r="152" spans="1:22" s="475" customFormat="1">
      <c r="A152" s="1276"/>
      <c r="B152" s="1277"/>
      <c r="C152" s="1288">
        <v>-7.5192224141937658E-2</v>
      </c>
      <c r="D152" s="1288">
        <v>-1.0875820016857446E-2</v>
      </c>
      <c r="E152" s="1288">
        <v>-2.4204259279105658E-2</v>
      </c>
      <c r="F152" s="1289">
        <v>-3.0267757333534255E-2</v>
      </c>
      <c r="Q152" s="1457">
        <v>-2.7007365645175974E-2</v>
      </c>
      <c r="R152" s="1457">
        <v>7.8928454925274814E-3</v>
      </c>
      <c r="S152" s="1457">
        <v>7.0637697205220571E-3</v>
      </c>
      <c r="T152" s="1457">
        <v>-5.5498848819227196E-5</v>
      </c>
    </row>
    <row r="153" spans="1:22" s="475" customFormat="1" ht="13.5" thickBot="1">
      <c r="A153" s="1290"/>
      <c r="B153" s="1291"/>
      <c r="C153" s="1291"/>
      <c r="D153" s="1291"/>
      <c r="E153" s="1291"/>
      <c r="F153" s="1292"/>
      <c r="H153" s="1286"/>
      <c r="I153" s="1266"/>
    </row>
    <row r="154" spans="1:22" s="475" customFormat="1">
      <c r="A154" s="1271" t="s">
        <v>475</v>
      </c>
      <c r="B154" s="1293" t="s">
        <v>1181</v>
      </c>
      <c r="C154" s="1273" t="s">
        <v>620</v>
      </c>
      <c r="D154" s="1273" t="s">
        <v>621</v>
      </c>
      <c r="E154" s="1273" t="s">
        <v>619</v>
      </c>
      <c r="F154" s="1274" t="s">
        <v>625</v>
      </c>
    </row>
    <row r="155" spans="1:22" s="475" customFormat="1" ht="14.1" customHeight="1">
      <c r="A155" s="1276" t="s">
        <v>473</v>
      </c>
      <c r="B155" s="1277"/>
      <c r="C155" s="317">
        <v>3224.9175</v>
      </c>
      <c r="D155" s="317">
        <v>5388.9129999999996</v>
      </c>
      <c r="E155" s="317">
        <v>6322.5349999999999</v>
      </c>
      <c r="F155" s="1278">
        <v>14936.3655</v>
      </c>
      <c r="H155" s="1275">
        <v>17594.828571428574</v>
      </c>
      <c r="I155" s="624" t="s">
        <v>1022</v>
      </c>
    </row>
    <row r="156" spans="1:22" s="475" customFormat="1">
      <c r="A156" s="1276" t="s">
        <v>474</v>
      </c>
      <c r="B156" s="1277"/>
      <c r="C156" s="317">
        <v>148.58999999999997</v>
      </c>
      <c r="D156" s="317">
        <v>286.76</v>
      </c>
      <c r="E156" s="317">
        <v>192.82</v>
      </c>
      <c r="F156" s="1278">
        <v>628.16999999999996</v>
      </c>
      <c r="H156" s="1279">
        <v>16747.704071428572</v>
      </c>
      <c r="I156" s="384" t="s">
        <v>1182</v>
      </c>
    </row>
    <row r="157" spans="1:22" s="475" customFormat="1">
      <c r="A157" s="1276" t="s">
        <v>557</v>
      </c>
      <c r="B157" s="1277"/>
      <c r="C157" s="317">
        <v>0</v>
      </c>
      <c r="D157" s="317">
        <v>96.872380952380951</v>
      </c>
      <c r="E157" s="317">
        <v>1.2961904761904761</v>
      </c>
      <c r="F157" s="1278">
        <v>98.168571428571425</v>
      </c>
      <c r="H157" s="475">
        <v>0</v>
      </c>
      <c r="I157" s="475" t="s">
        <v>696</v>
      </c>
    </row>
    <row r="158" spans="1:22" s="1234" customFormat="1">
      <c r="A158" s="1466" t="s">
        <v>1505</v>
      </c>
      <c r="B158" s="1467"/>
      <c r="C158" s="1804">
        <v>135</v>
      </c>
      <c r="D158" s="1804">
        <v>660</v>
      </c>
      <c r="E158" s="1804">
        <v>290</v>
      </c>
      <c r="F158" s="1805">
        <v>1085</v>
      </c>
      <c r="G158" s="1470">
        <v>-5.3228621291448563E-2</v>
      </c>
      <c r="H158" s="1471">
        <v>16747.704071428572</v>
      </c>
      <c r="I158" s="817" t="s">
        <v>701</v>
      </c>
      <c r="K158" s="1234" t="s">
        <v>1566</v>
      </c>
    </row>
    <row r="159" spans="1:22" s="475" customFormat="1">
      <c r="A159" s="1276" t="s">
        <v>971</v>
      </c>
      <c r="B159" s="1277"/>
      <c r="C159" s="317">
        <v>3508.5075000000002</v>
      </c>
      <c r="D159" s="317">
        <v>6432.5453809523806</v>
      </c>
      <c r="E159" s="317">
        <v>6806.6511904761901</v>
      </c>
      <c r="F159" s="1278">
        <v>16747.704071428572</v>
      </c>
      <c r="G159" s="1275">
        <v>16649.535500000002</v>
      </c>
      <c r="H159" s="1285">
        <v>-5.0000000000000155E-2</v>
      </c>
      <c r="I159" s="384" t="s">
        <v>1027</v>
      </c>
      <c r="K159" s="1275">
        <v>102</v>
      </c>
      <c r="L159" s="1275">
        <v>697680</v>
      </c>
    </row>
    <row r="160" spans="1:22" s="475" customFormat="1">
      <c r="A160" s="1276"/>
      <c r="B160" s="1277"/>
      <c r="C160" s="317"/>
      <c r="D160" s="317"/>
      <c r="E160" s="317"/>
      <c r="F160" s="1278"/>
      <c r="G160" s="475">
        <v>53</v>
      </c>
      <c r="H160" s="1286">
        <v>-4.8146220723946587E-2</v>
      </c>
      <c r="I160" s="1266" t="s">
        <v>972</v>
      </c>
    </row>
    <row r="161" spans="1:11" s="475" customFormat="1">
      <c r="A161" s="1287" t="s">
        <v>1183</v>
      </c>
      <c r="B161" s="1277"/>
      <c r="C161" s="317">
        <v>-152.73250000000007</v>
      </c>
      <c r="D161" s="317">
        <v>-383.12700000000041</v>
      </c>
      <c r="E161" s="317">
        <v>-311.26500000000033</v>
      </c>
      <c r="F161" s="1278">
        <v>-847.12450000000172</v>
      </c>
      <c r="G161" s="1280">
        <v>882425.38150000013</v>
      </c>
    </row>
    <row r="162" spans="1:11" s="475" customFormat="1">
      <c r="A162" s="1276"/>
      <c r="B162" s="1277"/>
      <c r="C162" s="1288">
        <v>-4.1716057947580619E-2</v>
      </c>
      <c r="D162" s="1288">
        <v>-5.6212649110118251E-2</v>
      </c>
      <c r="E162" s="1288">
        <v>-4.3729792775092598E-2</v>
      </c>
      <c r="F162" s="1289">
        <v>-4.8146220723946573E-2</v>
      </c>
      <c r="G162" s="1725">
        <v>-7.8413978057480821E-2</v>
      </c>
    </row>
    <row r="163" spans="1:11" s="475" customFormat="1" ht="13.5" thickBot="1">
      <c r="A163" s="1290"/>
      <c r="B163" s="1291"/>
      <c r="C163" s="1291">
        <v>0.95</v>
      </c>
      <c r="D163" s="1291"/>
      <c r="E163" s="1291"/>
      <c r="F163" s="1292"/>
    </row>
    <row r="164" spans="1:11" s="475" customFormat="1">
      <c r="A164" s="1271" t="s">
        <v>475</v>
      </c>
      <c r="B164" s="1293" t="s">
        <v>1481</v>
      </c>
      <c r="C164" s="1273" t="s">
        <v>620</v>
      </c>
      <c r="D164" s="1273" t="s">
        <v>621</v>
      </c>
      <c r="E164" s="1273" t="s">
        <v>619</v>
      </c>
      <c r="F164" s="1274" t="s">
        <v>625</v>
      </c>
    </row>
    <row r="165" spans="1:11" s="475" customFormat="1">
      <c r="A165" s="1276" t="s">
        <v>473</v>
      </c>
      <c r="B165" s="1277"/>
      <c r="C165" s="317">
        <v>3095.9207999999999</v>
      </c>
      <c r="D165" s="317">
        <v>5173.3564799999995</v>
      </c>
      <c r="E165" s="317">
        <v>6069.6335999999992</v>
      </c>
      <c r="F165" s="1278">
        <v>14338.910879999998</v>
      </c>
      <c r="H165" s="1275">
        <v>17594.828571428574</v>
      </c>
      <c r="I165" s="624" t="s">
        <v>1186</v>
      </c>
    </row>
    <row r="166" spans="1:11" s="475" customFormat="1">
      <c r="A166" s="1276" t="s">
        <v>474</v>
      </c>
      <c r="B166" s="1277"/>
      <c r="C166" s="317">
        <v>148.58999999999997</v>
      </c>
      <c r="D166" s="317">
        <v>286.76</v>
      </c>
      <c r="E166" s="317">
        <v>192.82</v>
      </c>
      <c r="F166" s="1278">
        <v>628.16999999999996</v>
      </c>
      <c r="H166" s="1279">
        <v>16106.45542600053</v>
      </c>
      <c r="I166" s="384" t="s">
        <v>1482</v>
      </c>
    </row>
    <row r="167" spans="1:11" s="475" customFormat="1">
      <c r="A167" s="1276" t="s">
        <v>557</v>
      </c>
      <c r="B167" s="1277"/>
      <c r="C167" s="317">
        <v>0</v>
      </c>
      <c r="D167" s="317">
        <v>96.872380952380951</v>
      </c>
      <c r="E167" s="317">
        <v>1.2961904761904761</v>
      </c>
      <c r="F167" s="1278">
        <v>98.168571428571425</v>
      </c>
      <c r="H167" s="475">
        <v>0</v>
      </c>
      <c r="I167" s="475" t="s">
        <v>696</v>
      </c>
    </row>
    <row r="168" spans="1:11" s="1234" customFormat="1">
      <c r="A168" s="1466" t="s">
        <v>1505</v>
      </c>
      <c r="B168" s="1467"/>
      <c r="C168" s="1804">
        <v>154.44915254237287</v>
      </c>
      <c r="D168" s="1804">
        <v>573.53522053982886</v>
      </c>
      <c r="E168" s="1804">
        <v>313.22160148975792</v>
      </c>
      <c r="F168" s="1805">
        <v>1041.2059745719596</v>
      </c>
      <c r="G168" s="1470">
        <v>-4.0363157076534928E-2</v>
      </c>
      <c r="H168" s="1471">
        <v>16106.45542600053</v>
      </c>
      <c r="I168" s="817" t="s">
        <v>701</v>
      </c>
      <c r="K168" s="1234" t="s">
        <v>1566</v>
      </c>
    </row>
    <row r="169" spans="1:11" s="475" customFormat="1">
      <c r="A169" s="1276" t="s">
        <v>971</v>
      </c>
      <c r="B169" s="1277"/>
      <c r="C169" s="317">
        <v>3398.9599525423728</v>
      </c>
      <c r="D169" s="317">
        <v>6130.524081492209</v>
      </c>
      <c r="E169" s="317">
        <v>6576.9713919659471</v>
      </c>
      <c r="F169" s="1278">
        <v>16106.45542600053</v>
      </c>
      <c r="H169" s="1285">
        <v>-4.0000000000000147E-2</v>
      </c>
      <c r="I169" s="384" t="s">
        <v>1027</v>
      </c>
    </row>
    <row r="170" spans="1:11" s="475" customFormat="1">
      <c r="A170" s="1276"/>
      <c r="B170" s="1277"/>
      <c r="C170" s="317"/>
      <c r="D170" s="317"/>
      <c r="E170" s="317"/>
      <c r="F170" s="1278"/>
      <c r="H170" s="1286">
        <v>-3.82887494723535E-2</v>
      </c>
      <c r="I170" s="1266" t="s">
        <v>972</v>
      </c>
    </row>
    <row r="171" spans="1:11" s="475" customFormat="1">
      <c r="A171" s="1287" t="s">
        <v>1483</v>
      </c>
      <c r="B171" s="1277"/>
      <c r="C171" s="317">
        <v>-109.54754745762739</v>
      </c>
      <c r="D171" s="317">
        <v>-302.02129946017158</v>
      </c>
      <c r="E171" s="317">
        <v>-229.67979851024302</v>
      </c>
      <c r="F171" s="1278">
        <v>-641.24864542804244</v>
      </c>
    </row>
    <row r="172" spans="1:11" s="475" customFormat="1">
      <c r="A172" s="1276"/>
      <c r="B172" s="1277"/>
      <c r="C172" s="1288">
        <v>-3.1223404099215233E-2</v>
      </c>
      <c r="D172" s="1288">
        <v>-4.6952066650706684E-2</v>
      </c>
      <c r="E172" s="1288">
        <v>-3.374343595446893E-2</v>
      </c>
      <c r="F172" s="1289">
        <v>-3.8288749472353445E-2</v>
      </c>
    </row>
    <row r="173" spans="1:11" s="475" customFormat="1" ht="13.5" thickBot="1">
      <c r="A173" s="1290"/>
      <c r="B173" s="1291"/>
      <c r="C173" s="1291"/>
      <c r="D173" s="1291"/>
      <c r="E173" s="1291"/>
      <c r="F173" s="1292"/>
    </row>
    <row r="174" spans="1:11" s="475" customFormat="1">
      <c r="A174" s="1271" t="s">
        <v>475</v>
      </c>
      <c r="B174" s="1293" t="s">
        <v>1632</v>
      </c>
      <c r="C174" s="1273" t="s">
        <v>620</v>
      </c>
      <c r="D174" s="1273" t="s">
        <v>621</v>
      </c>
      <c r="E174" s="1273" t="s">
        <v>619</v>
      </c>
      <c r="F174" s="1274" t="s">
        <v>625</v>
      </c>
    </row>
    <row r="175" spans="1:11" s="475" customFormat="1">
      <c r="A175" s="1276" t="s">
        <v>473</v>
      </c>
      <c r="B175" s="1277"/>
      <c r="C175" s="317">
        <v>3064.9615919999997</v>
      </c>
      <c r="D175" s="317">
        <v>5121.6229151999996</v>
      </c>
      <c r="E175" s="317">
        <v>6008.9372639999992</v>
      </c>
      <c r="F175" s="1278">
        <v>14195.521771199998</v>
      </c>
      <c r="H175" s="1275">
        <v>17594.828571428574</v>
      </c>
      <c r="I175" s="624" t="s">
        <v>1186</v>
      </c>
    </row>
    <row r="176" spans="1:11" s="475" customFormat="1">
      <c r="A176" s="1276" t="s">
        <v>474</v>
      </c>
      <c r="B176" s="1277"/>
      <c r="C176" s="317">
        <v>148.58999999999997</v>
      </c>
      <c r="D176" s="317">
        <v>286.76</v>
      </c>
      <c r="E176" s="317">
        <v>192.82</v>
      </c>
      <c r="F176" s="1278">
        <v>628.16999999999996</v>
      </c>
      <c r="H176" s="1279">
        <v>15935.261258425791</v>
      </c>
      <c r="I176" s="384" t="s">
        <v>1482</v>
      </c>
    </row>
    <row r="177" spans="1:11" s="475" customFormat="1">
      <c r="A177" s="1276" t="s">
        <v>557</v>
      </c>
      <c r="B177" s="1277"/>
      <c r="C177" s="317">
        <v>0</v>
      </c>
      <c r="D177" s="317">
        <v>96.872380952380951</v>
      </c>
      <c r="E177" s="317">
        <v>1.2961904761904761</v>
      </c>
      <c r="F177" s="1278">
        <v>98.168571428571425</v>
      </c>
      <c r="H177" s="475">
        <v>0</v>
      </c>
      <c r="I177" s="475" t="s">
        <v>696</v>
      </c>
    </row>
    <row r="178" spans="1:11" s="1234" customFormat="1">
      <c r="A178" s="1466" t="s">
        <v>1505</v>
      </c>
      <c r="B178" s="1467"/>
      <c r="C178" s="1468">
        <v>176.70030163746048</v>
      </c>
      <c r="D178" s="1468">
        <v>498.39795333283354</v>
      </c>
      <c r="E178" s="1468">
        <v>338.30266082692663</v>
      </c>
      <c r="F178" s="1469">
        <v>1013.4009157972206</v>
      </c>
      <c r="G178" s="1470">
        <v>-2.6704666947545808E-2</v>
      </c>
      <c r="H178" s="1471">
        <v>15935.261258425791</v>
      </c>
      <c r="I178" s="817" t="s">
        <v>701</v>
      </c>
      <c r="K178" s="1234" t="s">
        <v>1566</v>
      </c>
    </row>
    <row r="179" spans="1:11" s="475" customFormat="1">
      <c r="A179" s="1276" t="s">
        <v>971</v>
      </c>
      <c r="B179" s="1277"/>
      <c r="C179" s="317">
        <v>3390.2518936374604</v>
      </c>
      <c r="D179" s="317">
        <v>6003.6532494852145</v>
      </c>
      <c r="E179" s="317">
        <v>6541.356115303116</v>
      </c>
      <c r="F179" s="1278">
        <v>15935.261258425791</v>
      </c>
      <c r="H179" s="1285">
        <v>-1.0000000000000009E-2</v>
      </c>
      <c r="I179" s="384" t="s">
        <v>1027</v>
      </c>
    </row>
    <row r="180" spans="1:11" s="475" customFormat="1">
      <c r="A180" s="1276"/>
      <c r="B180" s="1277"/>
      <c r="C180" s="317"/>
      <c r="D180" s="317"/>
      <c r="E180" s="317"/>
      <c r="F180" s="1278"/>
      <c r="H180" s="1286">
        <v>-1.0628916359733731E-2</v>
      </c>
      <c r="I180" s="1266" t="s">
        <v>972</v>
      </c>
    </row>
    <row r="181" spans="1:11" s="475" customFormat="1">
      <c r="A181" s="1287" t="s">
        <v>1483</v>
      </c>
      <c r="B181" s="1277"/>
      <c r="C181" s="317">
        <v>-8.7080589049123773</v>
      </c>
      <c r="D181" s="317">
        <v>-126.87083200699453</v>
      </c>
      <c r="E181" s="317">
        <v>-35.615276662831093</v>
      </c>
      <c r="F181" s="1278">
        <v>-171.19416757473846</v>
      </c>
    </row>
    <row r="182" spans="1:11" s="475" customFormat="1">
      <c r="A182" s="1276"/>
      <c r="B182" s="1277"/>
      <c r="C182" s="1288">
        <v>-2.5619774950272288E-3</v>
      </c>
      <c r="D182" s="1288">
        <v>-2.0694940647898629E-2</v>
      </c>
      <c r="E182" s="1288">
        <v>-5.4151484840479439E-3</v>
      </c>
      <c r="F182" s="1289">
        <v>-1.0628916359733688E-2</v>
      </c>
    </row>
    <row r="183" spans="1:11" s="475" customFormat="1" ht="13.5" thickBot="1">
      <c r="A183" s="1290"/>
      <c r="B183" s="1291"/>
      <c r="C183" s="1291"/>
      <c r="D183" s="1291"/>
      <c r="E183" s="1291"/>
      <c r="F183" s="1292"/>
    </row>
    <row r="184" spans="1:11" s="475" customFormat="1"/>
    <row r="185" spans="1:11" s="475" customFormat="1"/>
    <row r="186" spans="1:11" s="475" customFormat="1"/>
    <row r="187" spans="1:11" s="475" customFormat="1"/>
    <row r="188" spans="1:11" s="475" customFormat="1"/>
    <row r="189" spans="1:11" s="475" customFormat="1"/>
    <row r="190" spans="1:11" s="475" customFormat="1"/>
    <row r="191" spans="1:11" s="475" customFormat="1"/>
    <row r="192" spans="1:11" s="475" customFormat="1"/>
    <row r="193" spans="1:7" s="475" customFormat="1"/>
    <row r="194" spans="1:7" s="475" customFormat="1">
      <c r="E194" s="475" t="s">
        <v>1556</v>
      </c>
      <c r="G194" s="475" t="s">
        <v>1566</v>
      </c>
    </row>
    <row r="195" spans="1:7" s="475" customFormat="1"/>
    <row r="196" spans="1:7" s="475" customFormat="1"/>
    <row r="197" spans="1:7" s="475" customFormat="1"/>
    <row r="198" spans="1:7" s="475" customFormat="1" ht="13.5" thickBot="1"/>
    <row r="199" spans="1:7" s="475" customFormat="1">
      <c r="A199" s="1294" t="s">
        <v>1571</v>
      </c>
      <c r="B199" s="1295"/>
      <c r="C199" s="1295"/>
      <c r="D199" s="1295"/>
      <c r="E199" s="1296"/>
    </row>
    <row r="200" spans="1:7" s="475" customFormat="1">
      <c r="A200" s="1276"/>
      <c r="B200" s="1277"/>
      <c r="C200" s="1277"/>
      <c r="D200" s="1277"/>
      <c r="E200" s="1297"/>
    </row>
    <row r="201" spans="1:7" s="475" customFormat="1" ht="25.5">
      <c r="A201" s="1276" t="s">
        <v>1572</v>
      </c>
      <c r="B201" s="1298" t="s">
        <v>1573</v>
      </c>
      <c r="C201" s="1277" t="s">
        <v>1574</v>
      </c>
      <c r="D201" s="1277"/>
      <c r="E201" s="1297"/>
    </row>
    <row r="202" spans="1:7" s="475" customFormat="1">
      <c r="A202" s="1299"/>
      <c r="B202" s="1300" t="e">
        <v>#REF!</v>
      </c>
      <c r="C202" s="1277">
        <v>1.0604651162790697</v>
      </c>
      <c r="D202" s="317" t="e">
        <v>#REF!</v>
      </c>
      <c r="E202" s="1297"/>
    </row>
    <row r="203" spans="1:7" s="475" customFormat="1">
      <c r="A203" s="1276"/>
      <c r="B203" s="1277"/>
      <c r="C203" s="1277"/>
      <c r="D203" s="1277"/>
      <c r="E203" s="1297"/>
    </row>
    <row r="204" spans="1:7" s="475" customFormat="1">
      <c r="A204" s="1276"/>
      <c r="B204" s="1277"/>
      <c r="C204" s="1277"/>
      <c r="D204" s="1277"/>
      <c r="E204" s="1297"/>
    </row>
    <row r="205" spans="1:7" s="475" customFormat="1" ht="13.5" thickBot="1">
      <c r="A205" s="1290"/>
      <c r="B205" s="1291"/>
      <c r="C205" s="1291"/>
      <c r="D205" s="1291"/>
      <c r="E205" s="1292"/>
    </row>
    <row r="209" spans="1:10" hidden="1">
      <c r="A209" s="1271" t="s">
        <v>1671</v>
      </c>
      <c r="B209" s="1293" t="s">
        <v>1181</v>
      </c>
      <c r="C209" s="1273" t="s">
        <v>620</v>
      </c>
      <c r="D209" s="1273" t="s">
        <v>621</v>
      </c>
      <c r="E209" s="1273" t="s">
        <v>619</v>
      </c>
      <c r="F209" s="1274" t="s">
        <v>625</v>
      </c>
    </row>
    <row r="210" spans="1:10" hidden="1">
      <c r="A210" s="1276" t="s">
        <v>1924</v>
      </c>
      <c r="B210" s="1277"/>
      <c r="C210" s="317">
        <v>3508.5075000000002</v>
      </c>
      <c r="D210" s="317">
        <v>6335.6729999999998</v>
      </c>
      <c r="E210" s="317">
        <v>6805.3549999999996</v>
      </c>
      <c r="F210" s="1278">
        <v>16649.535499999998</v>
      </c>
    </row>
    <row r="211" spans="1:10" ht="38.25" hidden="1">
      <c r="A211" s="2031" t="s">
        <v>1925</v>
      </c>
      <c r="B211" s="2029">
        <v>53</v>
      </c>
      <c r="C211" s="317">
        <v>185950.89750000002</v>
      </c>
      <c r="D211" s="317">
        <v>335790.66899999999</v>
      </c>
      <c r="E211" s="317">
        <v>360683.815</v>
      </c>
      <c r="F211" s="1278">
        <v>882425.38150000002</v>
      </c>
    </row>
    <row r="212" spans="1:10" hidden="1">
      <c r="A212" s="2031"/>
      <c r="B212" s="2029"/>
      <c r="C212" s="317"/>
      <c r="D212" s="317"/>
      <c r="E212" s="317"/>
      <c r="F212" s="1278"/>
    </row>
    <row r="213" spans="1:10" hidden="1">
      <c r="A213" s="2031"/>
      <c r="B213" s="2029"/>
      <c r="C213" s="317"/>
      <c r="D213" s="317"/>
      <c r="E213" s="317"/>
      <c r="F213" s="1278"/>
    </row>
    <row r="214" spans="1:10" hidden="1">
      <c r="A214" s="2031"/>
      <c r="B214" s="2029"/>
      <c r="C214" s="317"/>
      <c r="D214" s="317"/>
      <c r="E214" s="317"/>
      <c r="F214" s="1278"/>
      <c r="J214" s="70"/>
    </row>
    <row r="215" spans="1:10" ht="25.5" hidden="1">
      <c r="A215" s="2031" t="s">
        <v>1928</v>
      </c>
      <c r="B215" s="2029">
        <v>55</v>
      </c>
      <c r="C215" s="317">
        <v>201368.2</v>
      </c>
      <c r="D215" s="317">
        <v>369534</v>
      </c>
      <c r="E215" s="317">
        <v>391414.1</v>
      </c>
      <c r="F215" s="1278">
        <v>962316.29999999993</v>
      </c>
      <c r="J215" s="338"/>
    </row>
    <row r="216" spans="1:10" hidden="1">
      <c r="A216" s="2031"/>
      <c r="B216" s="2029"/>
      <c r="C216" s="317"/>
      <c r="D216" s="317"/>
      <c r="E216" s="317"/>
      <c r="F216" s="1278"/>
    </row>
    <row r="217" spans="1:10" hidden="1">
      <c r="A217" s="76"/>
      <c r="B217" s="77"/>
      <c r="C217" s="77"/>
      <c r="D217" s="77"/>
      <c r="E217" s="77"/>
      <c r="F217" s="79"/>
    </row>
    <row r="218" spans="1:10" ht="51.75" hidden="1" thickBot="1">
      <c r="A218" s="2032" t="s">
        <v>1926</v>
      </c>
      <c r="B218" s="82" t="s">
        <v>1927</v>
      </c>
      <c r="C218" s="433">
        <v>177078</v>
      </c>
      <c r="D218" s="433">
        <v>587204</v>
      </c>
      <c r="E218" s="433">
        <v>513899</v>
      </c>
      <c r="F218" s="2030">
        <v>1278181</v>
      </c>
    </row>
    <row r="219" spans="1:10" hidden="1"/>
  </sheetData>
  <phoneticPr fontId="12" type="noConversion"/>
  <printOptions horizontalCentered="1"/>
  <pageMargins left="0.5" right="0.5" top="1" bottom="0.75" header="0.5" footer="0.5"/>
  <pageSetup scale="89" orientation="landscape" r:id="rId1"/>
  <headerFooter alignWithMargins="0">
    <oddHeader>&amp;CResource Allocation Revenues
&amp;D</oddHeader>
  </headerFooter>
  <rowBreaks count="1" manualBreakCount="1">
    <brk id="43" max="16383" man="1"/>
  </rowBreaks>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J85"/>
  <sheetViews>
    <sheetView workbookViewId="0"/>
  </sheetViews>
  <sheetFormatPr defaultColWidth="8.85546875" defaultRowHeight="12.75"/>
  <cols>
    <col min="1" max="1" width="23.7109375" customWidth="1"/>
    <col min="2" max="2" width="21" customWidth="1"/>
    <col min="3" max="5" width="11.28515625" customWidth="1"/>
    <col min="6" max="6" width="25.140625" bestFit="1" customWidth="1"/>
    <col min="7" max="7" width="27.42578125" bestFit="1" customWidth="1"/>
    <col min="13" max="13" width="22.7109375" bestFit="1" customWidth="1"/>
    <col min="14" max="14" width="26.85546875" bestFit="1" customWidth="1"/>
  </cols>
  <sheetData>
    <row r="1" spans="1:8">
      <c r="A1" s="1" t="s">
        <v>539</v>
      </c>
    </row>
    <row r="2" spans="1:8">
      <c r="A2" s="1" t="s">
        <v>1856</v>
      </c>
    </row>
    <row r="3" spans="1:8">
      <c r="A3" s="1266"/>
    </row>
    <row r="5" spans="1:8" ht="13.5" thickBot="1"/>
    <row r="6" spans="1:8" s="1907" customFormat="1" ht="26.25" thickBot="1">
      <c r="A6" s="685" t="s">
        <v>38</v>
      </c>
      <c r="B6" s="686" t="s">
        <v>1857</v>
      </c>
      <c r="C6" s="1034"/>
      <c r="F6" s="685" t="s">
        <v>38</v>
      </c>
      <c r="G6" s="1940" t="s">
        <v>1858</v>
      </c>
    </row>
    <row r="7" spans="1:8" s="1907" customFormat="1">
      <c r="A7" s="793" t="s">
        <v>1859</v>
      </c>
      <c r="B7" s="1941">
        <f>'[48]042618proj'!F9</f>
        <v>362364.12</v>
      </c>
      <c r="C7" s="1036" t="s">
        <v>1860</v>
      </c>
      <c r="F7" s="793" t="s">
        <v>1859</v>
      </c>
      <c r="G7" s="1942">
        <v>330789</v>
      </c>
    </row>
    <row r="8" spans="1:8" s="1907" customFormat="1">
      <c r="A8" s="798" t="s">
        <v>1861</v>
      </c>
      <c r="B8" s="799"/>
      <c r="C8" s="1034"/>
      <c r="F8" s="798" t="s">
        <v>1861</v>
      </c>
      <c r="G8" s="799"/>
    </row>
    <row r="9" spans="1:8" s="71" customFormat="1" ht="25.5" customHeight="1">
      <c r="A9" s="687" t="s">
        <v>41</v>
      </c>
      <c r="B9" s="688">
        <f>'[48]proj_g_e 042018'!F20</f>
        <v>2436374</v>
      </c>
      <c r="C9" s="245">
        <f>B9-G9</f>
        <v>196972</v>
      </c>
      <c r="F9" s="687" t="s">
        <v>41</v>
      </c>
      <c r="G9" s="688">
        <v>2239402</v>
      </c>
      <c r="H9" s="71" t="s">
        <v>1862</v>
      </c>
    </row>
    <row r="10" spans="1:8" s="71" customFormat="1" ht="12.75" customHeight="1">
      <c r="A10" s="689" t="s">
        <v>42</v>
      </c>
      <c r="B10" s="1041">
        <f>'[48]proj_g_e 042018'!F37</f>
        <v>902600</v>
      </c>
      <c r="C10" s="245">
        <f t="shared" ref="C10:C13" si="0">B10-G10</f>
        <v>98125</v>
      </c>
      <c r="F10" s="689" t="s">
        <v>42</v>
      </c>
      <c r="G10" s="1041">
        <v>804475</v>
      </c>
      <c r="H10" s="71" t="s">
        <v>1863</v>
      </c>
    </row>
    <row r="11" spans="1:8">
      <c r="A11" s="690" t="s">
        <v>43</v>
      </c>
      <c r="B11" s="1041">
        <f>'[48]042618proj'!F21</f>
        <v>1192641</v>
      </c>
      <c r="C11" s="245">
        <f t="shared" si="0"/>
        <v>180000</v>
      </c>
      <c r="D11" s="71"/>
      <c r="F11" s="690" t="s">
        <v>43</v>
      </c>
      <c r="G11" s="1041">
        <v>1012641</v>
      </c>
      <c r="H11" s="285" t="s">
        <v>1864</v>
      </c>
    </row>
    <row r="12" spans="1:8">
      <c r="A12" s="690" t="s">
        <v>44</v>
      </c>
      <c r="B12" s="1042">
        <v>0</v>
      </c>
      <c r="C12" s="245">
        <f t="shared" si="0"/>
        <v>0</v>
      </c>
      <c r="D12" s="71"/>
      <c r="F12" s="690" t="s">
        <v>44</v>
      </c>
      <c r="G12" s="1042">
        <v>0</v>
      </c>
    </row>
    <row r="13" spans="1:8">
      <c r="A13" s="691" t="s">
        <v>45</v>
      </c>
      <c r="B13" s="688">
        <f>'[48]042618proj'!F22</f>
        <v>195000</v>
      </c>
      <c r="C13" s="245">
        <f t="shared" si="0"/>
        <v>41000</v>
      </c>
      <c r="D13" s="71"/>
      <c r="F13" s="691" t="s">
        <v>45</v>
      </c>
      <c r="G13" s="688">
        <v>154000</v>
      </c>
      <c r="H13" t="s">
        <v>1865</v>
      </c>
    </row>
    <row r="14" spans="1:8">
      <c r="A14" s="793" t="s">
        <v>46</v>
      </c>
      <c r="B14" s="1042">
        <f>'[48]042618proj'!F23</f>
        <v>34840</v>
      </c>
      <c r="C14" s="245"/>
      <c r="D14" s="71"/>
      <c r="F14" s="793" t="s">
        <v>46</v>
      </c>
      <c r="G14" s="1041">
        <v>34840</v>
      </c>
    </row>
    <row r="15" spans="1:8">
      <c r="A15" s="794" t="s">
        <v>0</v>
      </c>
      <c r="B15" s="1943">
        <f>SUM(B9:B14)</f>
        <v>4761455</v>
      </c>
      <c r="C15" s="245">
        <f>B15-G15</f>
        <v>516097</v>
      </c>
      <c r="D15" s="71"/>
      <c r="E15" s="245"/>
      <c r="F15" s="794" t="s">
        <v>0</v>
      </c>
      <c r="G15" s="795">
        <f>SUM(G9:G14)</f>
        <v>4245358</v>
      </c>
    </row>
    <row r="16" spans="1:8" s="475" customFormat="1">
      <c r="A16" s="692" t="s">
        <v>1</v>
      </c>
      <c r="B16" s="1042">
        <f>'[48]042618proj'!F24</f>
        <v>1680</v>
      </c>
      <c r="C16" s="384"/>
      <c r="D16" s="71"/>
      <c r="E16" s="384"/>
      <c r="F16" s="692" t="s">
        <v>1</v>
      </c>
      <c r="G16" s="1042">
        <v>1680</v>
      </c>
    </row>
    <row r="17" spans="1:10" s="475" customFormat="1">
      <c r="A17" s="692" t="s">
        <v>2</v>
      </c>
      <c r="B17" s="1042">
        <f>'[48]updated maint fees 2018Apr'!F12</f>
        <v>480583.05</v>
      </c>
      <c r="C17" s="384"/>
      <c r="D17" s="71"/>
      <c r="E17" s="384"/>
      <c r="F17" s="692" t="s">
        <v>2</v>
      </c>
      <c r="G17" s="1042">
        <v>548426.64150700008</v>
      </c>
    </row>
    <row r="18" spans="1:10" s="475" customFormat="1" ht="13.5" thickBot="1">
      <c r="A18" s="693" t="s">
        <v>3</v>
      </c>
      <c r="B18" s="1042">
        <f>'[48]042618proj'!F26</f>
        <v>15000</v>
      </c>
      <c r="C18" s="384"/>
      <c r="D18" s="71"/>
      <c r="E18" s="384"/>
      <c r="F18" s="693" t="s">
        <v>3</v>
      </c>
      <c r="G18" s="1042">
        <v>15000</v>
      </c>
    </row>
    <row r="19" spans="1:10" s="475" customFormat="1" ht="13.5" thickBot="1">
      <c r="A19" s="694" t="s">
        <v>4</v>
      </c>
      <c r="B19" s="1944">
        <f>SUM(B16:B18)</f>
        <v>497263.05</v>
      </c>
      <c r="C19" s="384"/>
      <c r="D19" s="71"/>
      <c r="E19" s="384"/>
      <c r="F19" s="694" t="s">
        <v>4</v>
      </c>
      <c r="G19" s="1043">
        <f>SUM(G16:G18)</f>
        <v>565106.64150700008</v>
      </c>
    </row>
    <row r="20" spans="1:10" ht="13.5" thickBot="1">
      <c r="A20" s="695" t="s">
        <v>625</v>
      </c>
      <c r="B20" s="796">
        <f>SUM(B15,B19,B7)</f>
        <v>5621082.1699999999</v>
      </c>
      <c r="D20" s="71"/>
      <c r="F20" s="695" t="s">
        <v>625</v>
      </c>
      <c r="G20" s="796">
        <f>G15+G19+G7</f>
        <v>5141253.6415069997</v>
      </c>
    </row>
    <row r="21" spans="1:10">
      <c r="A21" s="696" t="s">
        <v>5</v>
      </c>
      <c r="D21" s="71"/>
    </row>
    <row r="22" spans="1:10">
      <c r="B22" s="245"/>
    </row>
    <row r="24" spans="1:10" ht="12" customHeight="1">
      <c r="A24" s="149"/>
    </row>
    <row r="25" spans="1:10" s="71" customFormat="1" ht="13.5" thickBot="1">
      <c r="A25" s="1" t="s">
        <v>1866</v>
      </c>
      <c r="B25" s="1945"/>
    </row>
    <row r="26" spans="1:10" s="71" customFormat="1" ht="13.5" thickBot="1">
      <c r="A26" s="1946" t="s">
        <v>1240</v>
      </c>
      <c r="B26" s="1044" t="s">
        <v>1545</v>
      </c>
      <c r="E26" s="257"/>
    </row>
    <row r="27" spans="1:10" s="71" customFormat="1" ht="13.5" thickTop="1">
      <c r="A27" s="1965" t="s">
        <v>1867</v>
      </c>
      <c r="B27" s="1966">
        <v>362364.12</v>
      </c>
      <c r="E27" s="257"/>
      <c r="F27" s="482" t="s">
        <v>1868</v>
      </c>
      <c r="G27" s="1947">
        <f>SUM(B27:B48)</f>
        <v>4885244.0200000005</v>
      </c>
    </row>
    <row r="28" spans="1:10" s="71" customFormat="1">
      <c r="A28" s="1967" t="s">
        <v>1244</v>
      </c>
      <c r="B28" s="1968">
        <v>12000</v>
      </c>
      <c r="E28" s="130"/>
    </row>
    <row r="29" spans="1:10" s="71" customFormat="1">
      <c r="A29" s="1969" t="s">
        <v>1245</v>
      </c>
      <c r="B29" s="1970">
        <v>105400.00000000001</v>
      </c>
      <c r="E29" s="130"/>
      <c r="G29" s="1977">
        <f>SUM(B80:B82)</f>
        <v>497263.05</v>
      </c>
      <c r="H29" s="482" t="s">
        <v>1869</v>
      </c>
    </row>
    <row r="30" spans="1:10" s="71" customFormat="1">
      <c r="A30" s="1969" t="s">
        <v>1246</v>
      </c>
      <c r="B30" s="1970">
        <v>6840</v>
      </c>
      <c r="E30" s="130"/>
    </row>
    <row r="31" spans="1:10" s="71" customFormat="1">
      <c r="A31" s="1969" t="s">
        <v>1248</v>
      </c>
      <c r="B31" s="1970">
        <v>840</v>
      </c>
      <c r="E31" s="130"/>
      <c r="G31" s="1964">
        <f>SUM(B49:B56)</f>
        <v>135300</v>
      </c>
      <c r="H31" s="482" t="s">
        <v>1872</v>
      </c>
      <c r="J31" s="482" t="s">
        <v>1884</v>
      </c>
    </row>
    <row r="32" spans="1:10" s="71" customFormat="1">
      <c r="A32" s="1969" t="s">
        <v>1249</v>
      </c>
      <c r="B32" s="1970">
        <v>801</v>
      </c>
      <c r="C32" s="71" t="s">
        <v>1250</v>
      </c>
      <c r="E32" s="130"/>
      <c r="J32" s="482" t="s">
        <v>1885</v>
      </c>
    </row>
    <row r="33" spans="1:7" s="71" customFormat="1">
      <c r="A33" s="1969" t="s">
        <v>1251</v>
      </c>
      <c r="B33" s="1970">
        <v>281310</v>
      </c>
      <c r="E33" s="130"/>
      <c r="F33" s="482" t="s">
        <v>1870</v>
      </c>
      <c r="G33" s="1978">
        <f>G27+G31</f>
        <v>5020544.0200000005</v>
      </c>
    </row>
    <row r="34" spans="1:7" s="71" customFormat="1">
      <c r="A34" s="1969" t="s">
        <v>1254</v>
      </c>
      <c r="B34" s="1970">
        <v>750970</v>
      </c>
      <c r="E34" s="130"/>
    </row>
    <row r="35" spans="1:7" s="71" customFormat="1">
      <c r="A35" s="1969" t="s">
        <v>1258</v>
      </c>
      <c r="B35" s="1970">
        <v>299000</v>
      </c>
      <c r="E35" s="130"/>
    </row>
    <row r="36" spans="1:7" s="71" customFormat="1">
      <c r="A36" s="1969" t="s">
        <v>1263</v>
      </c>
      <c r="B36" s="1970">
        <v>55250</v>
      </c>
      <c r="E36" s="130"/>
    </row>
    <row r="37" spans="1:7" s="71" customFormat="1">
      <c r="A37" s="1969" t="s">
        <v>1265</v>
      </c>
      <c r="B37" s="1970">
        <v>9000</v>
      </c>
      <c r="E37" s="130"/>
    </row>
    <row r="38" spans="1:7" s="71" customFormat="1">
      <c r="A38" s="1969" t="s">
        <v>1266</v>
      </c>
      <c r="B38" s="1970">
        <v>184325.7</v>
      </c>
      <c r="E38" s="130"/>
    </row>
    <row r="39" spans="1:7" s="71" customFormat="1">
      <c r="A39" s="1969" t="s">
        <v>1269</v>
      </c>
      <c r="B39" s="1970">
        <v>333334</v>
      </c>
      <c r="E39" s="130"/>
    </row>
    <row r="40" spans="1:7" s="71" customFormat="1">
      <c r="A40" s="1969" t="s">
        <v>1273</v>
      </c>
      <c r="B40" s="1970">
        <v>166855</v>
      </c>
      <c r="E40" s="130"/>
    </row>
    <row r="41" spans="1:7" s="71" customFormat="1">
      <c r="A41" s="1969" t="s">
        <v>1277</v>
      </c>
      <c r="B41" s="1970">
        <v>38250</v>
      </c>
      <c r="E41" s="130"/>
    </row>
    <row r="42" spans="1:7" s="71" customFormat="1">
      <c r="A42" s="1969" t="s">
        <v>1279</v>
      </c>
      <c r="B42" s="1970">
        <v>8000</v>
      </c>
      <c r="E42" s="130"/>
    </row>
    <row r="43" spans="1:7" s="71" customFormat="1">
      <c r="A43" s="1969" t="s">
        <v>1280</v>
      </c>
      <c r="B43" s="1970">
        <v>385347.19999999995</v>
      </c>
      <c r="E43" s="130"/>
    </row>
    <row r="44" spans="1:7" s="71" customFormat="1">
      <c r="A44" s="1969" t="s">
        <v>1285</v>
      </c>
      <c r="B44" s="1970">
        <v>1132740</v>
      </c>
      <c r="E44" s="130"/>
    </row>
    <row r="45" spans="1:7" s="71" customFormat="1">
      <c r="A45" s="1969" t="s">
        <v>1289</v>
      </c>
      <c r="B45" s="1970">
        <v>464967</v>
      </c>
      <c r="E45" s="130"/>
    </row>
    <row r="46" spans="1:7" s="71" customFormat="1">
      <c r="A46" s="1969" t="s">
        <v>1293</v>
      </c>
      <c r="B46" s="1970">
        <v>200000</v>
      </c>
      <c r="C46" s="71" t="s">
        <v>1294</v>
      </c>
      <c r="E46" s="130"/>
    </row>
    <row r="47" spans="1:7" s="71" customFormat="1">
      <c r="A47" s="1969" t="s">
        <v>1296</v>
      </c>
      <c r="B47" s="1970">
        <v>70650</v>
      </c>
      <c r="E47" s="130"/>
    </row>
    <row r="48" spans="1:7" s="71" customFormat="1">
      <c r="A48" s="1969" t="s">
        <v>1300</v>
      </c>
      <c r="B48" s="1970">
        <v>17000</v>
      </c>
      <c r="E48" s="130"/>
    </row>
    <row r="49" spans="1:5" s="384" customFormat="1">
      <c r="A49" s="1948" t="s">
        <v>1255</v>
      </c>
      <c r="B49" s="1949">
        <v>22050</v>
      </c>
      <c r="C49" s="1236" t="s">
        <v>1871</v>
      </c>
      <c r="E49" s="368"/>
    </row>
    <row r="50" spans="1:5" s="384" customFormat="1">
      <c r="A50" s="1948" t="s">
        <v>1259</v>
      </c>
      <c r="B50" s="1949">
        <v>2400</v>
      </c>
      <c r="E50" s="368"/>
    </row>
    <row r="51" spans="1:5" s="384" customFormat="1">
      <c r="A51" s="1948" t="s">
        <v>1264</v>
      </c>
      <c r="B51" s="1949">
        <v>9750</v>
      </c>
      <c r="E51" s="368"/>
    </row>
    <row r="52" spans="1:5" s="384" customFormat="1">
      <c r="A52" s="1948" t="s">
        <v>1270</v>
      </c>
      <c r="B52" s="1949">
        <v>5100</v>
      </c>
      <c r="E52" s="368"/>
    </row>
    <row r="53" spans="1:5" s="384" customFormat="1">
      <c r="A53" s="1948" t="s">
        <v>1278</v>
      </c>
      <c r="B53" s="1949">
        <v>6750</v>
      </c>
      <c r="E53" s="368"/>
    </row>
    <row r="54" spans="1:5" s="384" customFormat="1">
      <c r="A54" s="1948" t="s">
        <v>1286</v>
      </c>
      <c r="B54" s="1949">
        <v>40800</v>
      </c>
      <c r="E54" s="368"/>
    </row>
    <row r="55" spans="1:5" s="384" customFormat="1">
      <c r="A55" s="1948" t="s">
        <v>1290</v>
      </c>
      <c r="B55" s="1950">
        <v>35700</v>
      </c>
      <c r="E55" s="368"/>
    </row>
    <row r="56" spans="1:5" s="384" customFormat="1">
      <c r="A56" s="1948" t="s">
        <v>1297</v>
      </c>
      <c r="B56" s="1950">
        <v>12750</v>
      </c>
      <c r="E56" s="368"/>
    </row>
    <row r="57" spans="1:5" s="384" customFormat="1">
      <c r="A57" s="1951" t="s">
        <v>1252</v>
      </c>
      <c r="B57" s="1952">
        <v>2715</v>
      </c>
      <c r="E57" s="368"/>
    </row>
    <row r="58" spans="1:5" s="384" customFormat="1">
      <c r="A58" s="1951" t="s">
        <v>1256</v>
      </c>
      <c r="B58" s="1953">
        <v>6541.5</v>
      </c>
      <c r="D58" s="1971"/>
      <c r="E58" s="368"/>
    </row>
    <row r="59" spans="1:5" s="384" customFormat="1">
      <c r="A59" s="1951" t="s">
        <v>1260</v>
      </c>
      <c r="B59" s="1953">
        <v>1800</v>
      </c>
      <c r="E59" s="368"/>
    </row>
    <row r="60" spans="1:5" s="384" customFormat="1">
      <c r="A60" s="1951" t="s">
        <v>1267</v>
      </c>
      <c r="B60" s="1952">
        <v>1934.34</v>
      </c>
      <c r="E60" s="368"/>
    </row>
    <row r="61" spans="1:5" s="384" customFormat="1">
      <c r="A61" s="1951" t="s">
        <v>1271</v>
      </c>
      <c r="B61" s="1953">
        <v>3502</v>
      </c>
      <c r="E61" s="368"/>
    </row>
    <row r="62" spans="1:5" s="384" customFormat="1">
      <c r="A62" s="1951" t="s">
        <v>1274</v>
      </c>
      <c r="B62" s="1953">
        <v>1751</v>
      </c>
      <c r="E62" s="368"/>
    </row>
    <row r="63" spans="1:5" s="384" customFormat="1">
      <c r="A63" s="1951" t="s">
        <v>1281</v>
      </c>
      <c r="B63" s="1953">
        <v>4742.3999999999996</v>
      </c>
      <c r="E63" s="368"/>
    </row>
    <row r="64" spans="1:5" s="384" customFormat="1">
      <c r="A64" s="1951" t="s">
        <v>1287</v>
      </c>
      <c r="B64" s="1953">
        <v>13679.999999999998</v>
      </c>
      <c r="D64" s="1266"/>
      <c r="E64" s="368"/>
    </row>
    <row r="65" spans="1:5" s="384" customFormat="1">
      <c r="A65" s="1951" t="s">
        <v>1291</v>
      </c>
      <c r="B65" s="1953">
        <v>5813.9999999999991</v>
      </c>
      <c r="E65" s="368"/>
    </row>
    <row r="66" spans="1:5" s="384" customFormat="1">
      <c r="A66" s="1951" t="s">
        <v>1298</v>
      </c>
      <c r="B66" s="1953">
        <v>1000</v>
      </c>
      <c r="E66" s="368"/>
    </row>
    <row r="67" spans="1:5" s="384" customFormat="1">
      <c r="A67" s="1951" t="s">
        <v>1253</v>
      </c>
      <c r="B67" s="1952">
        <v>2775</v>
      </c>
      <c r="E67" s="368"/>
    </row>
    <row r="68" spans="1:5" s="384" customFormat="1">
      <c r="A68" s="1951" t="s">
        <v>1257</v>
      </c>
      <c r="B68" s="1953">
        <v>6688.5</v>
      </c>
      <c r="E68" s="368"/>
    </row>
    <row r="69" spans="1:5" s="384" customFormat="1">
      <c r="A69" s="1951" t="s">
        <v>1261</v>
      </c>
      <c r="B69" s="1953">
        <v>1800</v>
      </c>
      <c r="E69" s="368"/>
    </row>
    <row r="70" spans="1:5" s="384" customFormat="1">
      <c r="A70" s="1951" t="s">
        <v>1268</v>
      </c>
      <c r="B70" s="1954">
        <v>1539.9599999999998</v>
      </c>
      <c r="E70" s="368"/>
    </row>
    <row r="71" spans="1:5" s="384" customFormat="1">
      <c r="A71" s="1951" t="s">
        <v>1272</v>
      </c>
      <c r="B71" s="1955">
        <v>2787.9999999999995</v>
      </c>
      <c r="E71" s="368"/>
    </row>
    <row r="72" spans="1:5" s="384" customFormat="1">
      <c r="A72" s="1951" t="s">
        <v>1275</v>
      </c>
      <c r="B72" s="1955">
        <v>1393.9999999999998</v>
      </c>
      <c r="E72" s="368"/>
    </row>
    <row r="73" spans="1:5" s="384" customFormat="1">
      <c r="A73" s="1951" t="s">
        <v>1282</v>
      </c>
      <c r="B73" s="1953">
        <v>2870.4</v>
      </c>
      <c r="E73" s="368"/>
    </row>
    <row r="74" spans="1:5" s="384" customFormat="1">
      <c r="A74" s="1951" t="s">
        <v>1288</v>
      </c>
      <c r="B74" s="1953">
        <v>8280</v>
      </c>
      <c r="D74" s="1266"/>
      <c r="E74" s="368"/>
    </row>
    <row r="75" spans="1:5" s="384" customFormat="1">
      <c r="A75" s="1951" t="s">
        <v>1292</v>
      </c>
      <c r="B75" s="1953">
        <v>3519</v>
      </c>
      <c r="E75" s="368"/>
    </row>
    <row r="76" spans="1:5" s="384" customFormat="1">
      <c r="A76" s="1951" t="s">
        <v>1299</v>
      </c>
      <c r="B76" s="1953">
        <v>600</v>
      </c>
      <c r="E76" s="368"/>
    </row>
    <row r="77" spans="1:5" s="384" customFormat="1">
      <c r="A77" s="1956" t="s">
        <v>1283</v>
      </c>
      <c r="B77" s="1957">
        <v>23040</v>
      </c>
      <c r="C77" s="384" t="s">
        <v>1284</v>
      </c>
      <c r="E77" s="368"/>
    </row>
    <row r="78" spans="1:5" s="384" customFormat="1">
      <c r="A78" s="1958" t="s">
        <v>1283</v>
      </c>
      <c r="B78" s="1957">
        <v>4500</v>
      </c>
      <c r="C78" s="384" t="s">
        <v>1284</v>
      </c>
      <c r="E78" s="368"/>
    </row>
    <row r="79" spans="1:5" s="71" customFormat="1" ht="13.5" thickBot="1">
      <c r="A79" s="1959" t="s">
        <v>0</v>
      </c>
      <c r="B79" s="1960">
        <f>SUM(B27:B78)</f>
        <v>5123819.120000001</v>
      </c>
      <c r="C79" s="164"/>
      <c r="D79" s="293"/>
      <c r="E79" s="157"/>
    </row>
    <row r="80" spans="1:5" s="475" customFormat="1">
      <c r="A80" s="1961" t="s">
        <v>1301</v>
      </c>
      <c r="B80" s="1962">
        <f>B16</f>
        <v>1680</v>
      </c>
    </row>
    <row r="81" spans="1:2" s="475" customFormat="1">
      <c r="A81" s="1963" t="s">
        <v>1302</v>
      </c>
      <c r="B81" s="1952">
        <f t="shared" ref="B81:B82" si="1">B17</f>
        <v>480583.05</v>
      </c>
    </row>
    <row r="82" spans="1:2" s="475" customFormat="1">
      <c r="A82" s="1963" t="s">
        <v>1303</v>
      </c>
      <c r="B82" s="1952">
        <f t="shared" si="1"/>
        <v>15000</v>
      </c>
    </row>
    <row r="83" spans="1:2" ht="13.5" thickBot="1">
      <c r="A83" s="1972" t="s">
        <v>4</v>
      </c>
      <c r="B83" s="1973">
        <f>SUM(B80:B82)</f>
        <v>497263.05</v>
      </c>
    </row>
    <row r="84" spans="1:2">
      <c r="A84" s="1974"/>
      <c r="B84" s="1974"/>
    </row>
    <row r="85" spans="1:2">
      <c r="A85" s="1975" t="s">
        <v>625</v>
      </c>
      <c r="B85" s="1976">
        <f>B79+B83</f>
        <v>5621082.1700000009</v>
      </c>
    </row>
  </sheetData>
  <pageMargins left="0.25" right="0.25" top="0.5" bottom="0.5" header="0.5" footer="0.5"/>
  <pageSetup scale="80" orientation="portrait" r:id="rId1"/>
  <headerFooter alignWithMargins="0">
    <oddFooter xml:space="preserve">&amp;Rac/fpo/14may2007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141"/>
  <sheetViews>
    <sheetView workbookViewId="0"/>
  </sheetViews>
  <sheetFormatPr defaultColWidth="8.7109375" defaultRowHeight="12.75"/>
  <cols>
    <col min="1" max="1" width="24.42578125" customWidth="1"/>
    <col min="2" max="2" width="21.42578125" customWidth="1"/>
    <col min="3" max="3" width="17.42578125" customWidth="1"/>
    <col min="4" max="4" width="20.7109375" customWidth="1"/>
    <col min="5" max="5" width="12.28515625" bestFit="1" customWidth="1"/>
    <col min="7" max="7" width="23.7109375" customWidth="1"/>
    <col min="8" max="8" width="21" customWidth="1"/>
    <col min="10" max="10" width="23" customWidth="1"/>
    <col min="11" max="11" width="13.7109375" bestFit="1" customWidth="1"/>
  </cols>
  <sheetData>
    <row r="1" spans="1:11" ht="15">
      <c r="A1" s="417" t="s">
        <v>36</v>
      </c>
    </row>
    <row r="2" spans="1:11" ht="15">
      <c r="A2" s="417"/>
    </row>
    <row r="3" spans="1:11" ht="15.75" thickBot="1">
      <c r="A3" s="417" t="s">
        <v>37</v>
      </c>
    </row>
    <row r="4" spans="1:11" ht="39.75" thickBot="1">
      <c r="A4" s="417"/>
      <c r="J4" s="685" t="s">
        <v>38</v>
      </c>
      <c r="K4" s="686" t="s">
        <v>959</v>
      </c>
    </row>
    <row r="5" spans="1:11" ht="13.5" thickBot="1">
      <c r="A5" s="2085" t="s">
        <v>38</v>
      </c>
      <c r="B5" s="525" t="s">
        <v>39</v>
      </c>
      <c r="D5" s="2085" t="s">
        <v>38</v>
      </c>
      <c r="E5" s="525" t="s">
        <v>39</v>
      </c>
      <c r="J5" s="793" t="s">
        <v>961</v>
      </c>
      <c r="K5" s="797" t="e">
        <f>+'[49]to RM042913with fund5'!$B$7</f>
        <v>#REF!</v>
      </c>
    </row>
    <row r="6" spans="1:11" ht="26.25" thickBot="1">
      <c r="A6" s="2086"/>
      <c r="B6" s="526" t="s">
        <v>40</v>
      </c>
      <c r="D6" s="2086"/>
      <c r="E6" s="526" t="s">
        <v>823</v>
      </c>
      <c r="G6" s="685" t="s">
        <v>38</v>
      </c>
      <c r="H6" s="686" t="s">
        <v>904</v>
      </c>
      <c r="J6" s="798" t="s">
        <v>962</v>
      </c>
      <c r="K6" s="799"/>
    </row>
    <row r="7" spans="1:11" ht="13.5" thickBot="1">
      <c r="A7" s="527" t="s">
        <v>41</v>
      </c>
      <c r="B7" s="534">
        <v>2800793</v>
      </c>
      <c r="D7" s="527" t="s">
        <v>41</v>
      </c>
      <c r="E7" s="533">
        <f>SUM(C25:C28)</f>
        <v>2330448</v>
      </c>
      <c r="G7" s="687" t="s">
        <v>41</v>
      </c>
      <c r="H7" s="688" t="e">
        <f>+'[50]to RM042312'!$B7</f>
        <v>#REF!</v>
      </c>
      <c r="J7" s="687" t="s">
        <v>41</v>
      </c>
      <c r="K7" s="688" t="e">
        <f>+'[51]to RM042913with fund5'!$B7</f>
        <v>#REF!</v>
      </c>
    </row>
    <row r="8" spans="1:11" ht="13.5" thickBot="1">
      <c r="A8" s="527" t="s">
        <v>42</v>
      </c>
      <c r="B8" s="534">
        <v>1607779</v>
      </c>
      <c r="D8" s="527" t="s">
        <v>42</v>
      </c>
      <c r="E8" s="533">
        <f>SUM(B25:B28)</f>
        <v>1212138</v>
      </c>
      <c r="G8" s="689" t="s">
        <v>42</v>
      </c>
      <c r="H8" s="688" t="e">
        <f>+'[50]to RM042312'!$B8</f>
        <v>#REF!</v>
      </c>
      <c r="J8" s="689" t="s">
        <v>42</v>
      </c>
      <c r="K8" s="688" t="e">
        <f>+'[51]to RM042913with fund5'!$B8</f>
        <v>#REF!</v>
      </c>
    </row>
    <row r="9" spans="1:11" ht="13.5" thickBot="1">
      <c r="A9" s="527" t="s">
        <v>43</v>
      </c>
      <c r="B9" s="534">
        <v>408118</v>
      </c>
      <c r="D9" s="527" t="s">
        <v>43</v>
      </c>
      <c r="E9" s="533">
        <f>SUM(D25:D28)</f>
        <v>357546</v>
      </c>
      <c r="G9" s="690" t="s">
        <v>43</v>
      </c>
      <c r="H9" s="688" t="e">
        <f>+'[50]to RM042312'!$B9</f>
        <v>#REF!</v>
      </c>
      <c r="J9" s="690" t="s">
        <v>43</v>
      </c>
      <c r="K9" s="688" t="e">
        <f>+'[51]to RM042913with fund5'!$B9</f>
        <v>#REF!</v>
      </c>
    </row>
    <row r="10" spans="1:11" ht="13.5" thickBot="1">
      <c r="A10" s="527" t="s">
        <v>44</v>
      </c>
      <c r="B10" s="533">
        <v>2160</v>
      </c>
      <c r="D10" s="527" t="s">
        <v>44</v>
      </c>
      <c r="E10" s="533">
        <v>1560</v>
      </c>
      <c r="G10" s="690" t="s">
        <v>44</v>
      </c>
      <c r="H10" s="688" t="e">
        <f>+'[50]to RM042312'!$B10</f>
        <v>#REF!</v>
      </c>
      <c r="J10" s="690" t="s">
        <v>44</v>
      </c>
      <c r="K10" s="688" t="e">
        <f>+'[51]to RM042913with fund5'!$B10</f>
        <v>#REF!</v>
      </c>
    </row>
    <row r="11" spans="1:11" ht="13.5" thickBot="1">
      <c r="A11" s="527" t="s">
        <v>45</v>
      </c>
      <c r="B11" s="534">
        <v>143375</v>
      </c>
      <c r="D11" s="527" t="s">
        <v>45</v>
      </c>
      <c r="E11" s="533">
        <f>SUM(E26:E28)</f>
        <v>112956</v>
      </c>
      <c r="G11" s="691" t="s">
        <v>45</v>
      </c>
      <c r="H11" s="688" t="e">
        <f>+'[50]to RM042312'!$B11</f>
        <v>#REF!</v>
      </c>
      <c r="J11" s="691" t="s">
        <v>45</v>
      </c>
      <c r="K11" s="688" t="e">
        <f>+'[51]to RM042913with fund5'!$B11</f>
        <v>#REF!</v>
      </c>
    </row>
    <row r="12" spans="1:11" ht="13.5" thickBot="1">
      <c r="A12" s="290" t="s">
        <v>46</v>
      </c>
      <c r="B12" s="533">
        <v>37500</v>
      </c>
      <c r="D12" s="290" t="s">
        <v>46</v>
      </c>
      <c r="E12" s="533">
        <v>36000</v>
      </c>
      <c r="G12" s="699" t="s">
        <v>46</v>
      </c>
      <c r="H12" s="700" t="e">
        <f>+'[50]to RM042312'!$B12</f>
        <v>#REF!</v>
      </c>
      <c r="J12" s="793" t="s">
        <v>46</v>
      </c>
      <c r="K12" s="688" t="e">
        <f>+'[51]to RM042913with fund5'!$B12</f>
        <v>#REF!</v>
      </c>
    </row>
    <row r="13" spans="1:11" ht="13.5" thickBot="1">
      <c r="A13" s="528" t="s">
        <v>0</v>
      </c>
      <c r="B13" s="535">
        <f>SUM(B7:B12)</f>
        <v>4999725</v>
      </c>
      <c r="D13" s="528" t="s">
        <v>0</v>
      </c>
      <c r="E13" s="535">
        <f>SUM(E7:E12)</f>
        <v>4050648</v>
      </c>
      <c r="G13" s="698" t="s">
        <v>0</v>
      </c>
      <c r="H13" s="697" t="e">
        <f>+'[50]to RM042312'!$B13</f>
        <v>#REF!</v>
      </c>
      <c r="J13" s="794" t="s">
        <v>0</v>
      </c>
      <c r="K13" s="795" t="e">
        <f>SUM(K7:K12)</f>
        <v>#REF!</v>
      </c>
    </row>
    <row r="14" spans="1:11" ht="13.5" thickBot="1">
      <c r="A14" s="529" t="s">
        <v>1</v>
      </c>
      <c r="B14" s="533">
        <v>5160</v>
      </c>
      <c r="D14" s="529" t="s">
        <v>1</v>
      </c>
      <c r="E14" s="533">
        <v>5160</v>
      </c>
      <c r="G14" s="692" t="s">
        <v>1</v>
      </c>
      <c r="H14" s="688" t="e">
        <f>+'[50]to RM042312'!$B14</f>
        <v>#REF!</v>
      </c>
      <c r="J14" s="692" t="s">
        <v>1</v>
      </c>
      <c r="K14" s="688" t="e">
        <f>+'[51]to RM042913with fund5'!$B14</f>
        <v>#REF!</v>
      </c>
    </row>
    <row r="15" spans="1:11" ht="13.5" thickBot="1">
      <c r="A15" s="529" t="s">
        <v>2</v>
      </c>
      <c r="B15" s="533">
        <v>444909</v>
      </c>
      <c r="D15" s="529" t="s">
        <v>2</v>
      </c>
      <c r="E15" s="533">
        <v>422006</v>
      </c>
      <c r="G15" s="692" t="s">
        <v>2</v>
      </c>
      <c r="H15" s="688" t="e">
        <f>+'[50]to RM042312'!$B15</f>
        <v>#REF!</v>
      </c>
      <c r="J15" s="692" t="s">
        <v>2</v>
      </c>
      <c r="K15" s="688" t="e">
        <f>+'[51]to RM042913with fund5'!$B15</f>
        <v>#REF!</v>
      </c>
    </row>
    <row r="16" spans="1:11" ht="13.5" thickBot="1">
      <c r="A16" s="530" t="s">
        <v>3</v>
      </c>
      <c r="B16" s="533">
        <v>2000</v>
      </c>
      <c r="D16" s="530" t="s">
        <v>3</v>
      </c>
      <c r="E16" s="533">
        <v>1000</v>
      </c>
      <c r="G16" s="693" t="s">
        <v>3</v>
      </c>
      <c r="H16" s="700" t="e">
        <f>+'[50]to RM042312'!$B16</f>
        <v>#REF!</v>
      </c>
      <c r="J16" s="693" t="s">
        <v>3</v>
      </c>
      <c r="K16" s="688" t="e">
        <f>+'[51]to RM042913with fund5'!$B16</f>
        <v>#REF!</v>
      </c>
    </row>
    <row r="17" spans="1:12" ht="13.5" thickBot="1">
      <c r="A17" s="531" t="s">
        <v>4</v>
      </c>
      <c r="B17" s="536">
        <f>SUM(B14:B16)</f>
        <v>452069</v>
      </c>
      <c r="D17" s="531" t="s">
        <v>4</v>
      </c>
      <c r="E17" s="536">
        <v>428166</v>
      </c>
      <c r="G17" s="694" t="s">
        <v>4</v>
      </c>
      <c r="H17" s="701" t="e">
        <f>+'[50]to RM042312'!$B17</f>
        <v>#REF!</v>
      </c>
      <c r="J17" s="694" t="s">
        <v>4</v>
      </c>
      <c r="K17" s="697" t="e">
        <f>+'[51]to RM042913with fund5'!$B17</f>
        <v>#REF!</v>
      </c>
    </row>
    <row r="18" spans="1:12" ht="13.5" thickBot="1">
      <c r="A18" s="532" t="s">
        <v>625</v>
      </c>
      <c r="B18" s="537">
        <f>+B17+B13</f>
        <v>5451794</v>
      </c>
      <c r="D18" s="532" t="s">
        <v>625</v>
      </c>
      <c r="E18" s="537">
        <v>4719888</v>
      </c>
      <c r="G18" s="695" t="s">
        <v>625</v>
      </c>
      <c r="H18" s="701" t="e">
        <f>+'[50]to RM042312'!$B18</f>
        <v>#REF!</v>
      </c>
      <c r="J18" s="695" t="s">
        <v>625</v>
      </c>
      <c r="K18" s="796" t="e">
        <f>SUM(K13,K17,K5)</f>
        <v>#REF!</v>
      </c>
      <c r="L18" t="e">
        <f>+K18/H18-1</f>
        <v>#REF!</v>
      </c>
    </row>
    <row r="19" spans="1:12">
      <c r="A19" s="2087" t="s">
        <v>5</v>
      </c>
      <c r="B19" s="2087"/>
      <c r="G19" s="696" t="s">
        <v>5</v>
      </c>
      <c r="J19" s="696" t="s">
        <v>5</v>
      </c>
    </row>
    <row r="20" spans="1:12" ht="15">
      <c r="A20" s="417"/>
    </row>
    <row r="21" spans="1:12">
      <c r="G21" s="71" t="s">
        <v>905</v>
      </c>
      <c r="H21" s="157" t="e">
        <f>+'[52]to RM042312with fund5'!$B$88</f>
        <v>#REF!</v>
      </c>
      <c r="J21" t="s">
        <v>960</v>
      </c>
      <c r="K21" s="276" t="e">
        <f>+'[49]to RM042913with fund5'!$B$92</f>
        <v>#REF!</v>
      </c>
    </row>
    <row r="22" spans="1:12" ht="13.5" thickBot="1"/>
    <row r="23" spans="1:12" ht="15.75" thickBot="1">
      <c r="A23" s="616"/>
      <c r="B23" s="617" t="s">
        <v>791</v>
      </c>
      <c r="C23" s="617" t="s">
        <v>792</v>
      </c>
      <c r="D23" s="617" t="s">
        <v>793</v>
      </c>
      <c r="E23" s="617" t="s">
        <v>794</v>
      </c>
    </row>
    <row r="24" spans="1:12" ht="15.75" thickBot="1">
      <c r="A24" s="618" t="s">
        <v>795</v>
      </c>
      <c r="B24" s="619"/>
      <c r="C24" s="619"/>
      <c r="D24" s="619"/>
      <c r="E24" s="619"/>
    </row>
    <row r="25" spans="1:12" ht="15.75" thickBot="1">
      <c r="A25" s="620" t="s">
        <v>796</v>
      </c>
      <c r="B25" s="622">
        <v>15000</v>
      </c>
      <c r="C25" s="622">
        <v>101061</v>
      </c>
      <c r="D25" s="622">
        <v>2550</v>
      </c>
      <c r="E25" s="622" t="s">
        <v>797</v>
      </c>
      <c r="F25" s="284"/>
    </row>
    <row r="26" spans="1:12" ht="15.75" thickBot="1">
      <c r="A26" s="620" t="s">
        <v>798</v>
      </c>
      <c r="B26" s="622">
        <v>160489</v>
      </c>
      <c r="C26" s="622">
        <v>523182</v>
      </c>
      <c r="D26" s="622">
        <v>88343</v>
      </c>
      <c r="E26" s="622">
        <v>12750</v>
      </c>
      <c r="F26" s="284"/>
    </row>
    <row r="27" spans="1:12" ht="15.75" thickBot="1">
      <c r="A27" s="620" t="s">
        <v>799</v>
      </c>
      <c r="B27" s="622">
        <v>623105</v>
      </c>
      <c r="C27" s="622">
        <v>1000459</v>
      </c>
      <c r="D27" s="622">
        <v>151342</v>
      </c>
      <c r="E27" s="622">
        <v>44956</v>
      </c>
      <c r="F27" s="284"/>
    </row>
    <row r="28" spans="1:12" ht="15.75" thickBot="1">
      <c r="A28" s="620" t="s">
        <v>800</v>
      </c>
      <c r="B28" s="622">
        <v>413544</v>
      </c>
      <c r="C28" s="622">
        <v>705746</v>
      </c>
      <c r="D28" s="622">
        <v>115311</v>
      </c>
      <c r="E28" s="622">
        <v>55250</v>
      </c>
      <c r="F28" s="284"/>
    </row>
    <row r="29" spans="1:12" ht="15.75" thickBot="1">
      <c r="A29" s="618" t="s">
        <v>801</v>
      </c>
      <c r="B29" s="622"/>
      <c r="C29" s="622"/>
      <c r="D29" s="622"/>
      <c r="E29" s="622"/>
      <c r="G29" s="245">
        <f>SUM(B25:E28)</f>
        <v>4013088</v>
      </c>
      <c r="H29" s="245" t="e">
        <f>+G29/E18*H18</f>
        <v>#REF!</v>
      </c>
    </row>
    <row r="30" spans="1:12" ht="15.75" thickBot="1">
      <c r="A30" s="620" t="s">
        <v>802</v>
      </c>
      <c r="B30" s="622" t="s">
        <v>803</v>
      </c>
      <c r="C30" s="622">
        <v>8100</v>
      </c>
      <c r="D30" s="622" t="s">
        <v>803</v>
      </c>
      <c r="E30" s="622">
        <v>2250</v>
      </c>
    </row>
    <row r="31" spans="1:12" ht="15.75" thickBot="1">
      <c r="A31" s="620" t="s">
        <v>799</v>
      </c>
      <c r="B31" s="622" t="s">
        <v>803</v>
      </c>
      <c r="C31" s="622">
        <v>35700</v>
      </c>
      <c r="D31" s="622">
        <v>11620</v>
      </c>
      <c r="E31" s="622">
        <v>8250</v>
      </c>
    </row>
    <row r="32" spans="1:12" ht="15.75" thickBot="1">
      <c r="A32" s="620" t="s">
        <v>800</v>
      </c>
      <c r="B32" s="622" t="s">
        <v>803</v>
      </c>
      <c r="C32" s="622">
        <v>19350</v>
      </c>
      <c r="D32" s="622">
        <v>1547</v>
      </c>
      <c r="E32" s="622">
        <v>9750</v>
      </c>
    </row>
    <row r="33" spans="1:7" ht="15.75" thickBot="1">
      <c r="A33" s="618" t="s">
        <v>804</v>
      </c>
      <c r="B33" s="622"/>
      <c r="C33" s="622"/>
      <c r="D33" s="622"/>
      <c r="E33" s="622"/>
    </row>
    <row r="34" spans="1:7" ht="15.75" thickBot="1">
      <c r="A34" s="620" t="s">
        <v>802</v>
      </c>
      <c r="B34" s="622">
        <v>1684</v>
      </c>
      <c r="C34" s="622">
        <v>5562</v>
      </c>
      <c r="D34" s="622">
        <v>927</v>
      </c>
      <c r="E34" s="622" t="s">
        <v>805</v>
      </c>
    </row>
    <row r="35" spans="1:7" ht="15.75" thickBot="1">
      <c r="A35" s="620" t="s">
        <v>799</v>
      </c>
      <c r="B35" s="622">
        <v>7410</v>
      </c>
      <c r="C35" s="622">
        <v>19728</v>
      </c>
      <c r="D35" s="622">
        <v>1892</v>
      </c>
      <c r="E35" s="622">
        <v>1116</v>
      </c>
    </row>
    <row r="36" spans="1:7" ht="15.75" thickBot="1">
      <c r="A36" s="620" t="s">
        <v>800</v>
      </c>
      <c r="B36" s="622">
        <v>3204</v>
      </c>
      <c r="C36" s="622">
        <v>5874</v>
      </c>
      <c r="D36" s="622">
        <v>1237</v>
      </c>
      <c r="E36" s="622" t="s">
        <v>805</v>
      </c>
    </row>
    <row r="37" spans="1:7" ht="15.75" thickBot="1">
      <c r="A37" s="618" t="s">
        <v>806</v>
      </c>
      <c r="B37" s="622"/>
      <c r="C37" s="622"/>
      <c r="D37" s="622"/>
      <c r="E37" s="622"/>
    </row>
    <row r="38" spans="1:7" ht="15.75" thickBot="1">
      <c r="A38" s="620" t="s">
        <v>802</v>
      </c>
      <c r="B38" s="622">
        <v>1327</v>
      </c>
      <c r="C38" s="622">
        <v>4326</v>
      </c>
      <c r="D38" s="622">
        <v>730</v>
      </c>
      <c r="E38" s="622" t="s">
        <v>805</v>
      </c>
    </row>
    <row r="39" spans="1:7" ht="15.75" thickBot="1">
      <c r="A39" s="620" t="s">
        <v>799</v>
      </c>
      <c r="B39" s="622">
        <v>4485</v>
      </c>
      <c r="C39" s="622">
        <v>4113</v>
      </c>
      <c r="D39" s="622">
        <v>1145</v>
      </c>
      <c r="E39" s="622">
        <v>678</v>
      </c>
    </row>
    <row r="40" spans="1:7" ht="15.75" thickBot="1">
      <c r="A40" s="620" t="s">
        <v>800</v>
      </c>
      <c r="B40" s="622">
        <v>819</v>
      </c>
      <c r="C40" s="622">
        <v>6006</v>
      </c>
      <c r="D40" s="622">
        <v>3722</v>
      </c>
      <c r="E40" s="622" t="s">
        <v>805</v>
      </c>
    </row>
    <row r="41" spans="1:7" ht="15.75" thickBot="1">
      <c r="A41" s="618" t="s">
        <v>807</v>
      </c>
      <c r="B41" s="622"/>
      <c r="C41" s="622"/>
      <c r="D41" s="622"/>
      <c r="E41" s="622"/>
    </row>
    <row r="42" spans="1:7" ht="15.75" thickBot="1">
      <c r="A42" s="620" t="s">
        <v>808</v>
      </c>
      <c r="B42" s="622">
        <v>15000</v>
      </c>
      <c r="C42" s="622">
        <v>10000</v>
      </c>
      <c r="D42" s="622" t="s">
        <v>803</v>
      </c>
      <c r="E42" s="622" t="s">
        <v>803</v>
      </c>
    </row>
    <row r="43" spans="1:7" ht="15.75" thickBot="1">
      <c r="A43" s="620"/>
      <c r="B43" s="622"/>
      <c r="C43" s="622"/>
      <c r="D43" s="622"/>
      <c r="E43" s="622"/>
    </row>
    <row r="44" spans="1:7" ht="15.75" thickBot="1">
      <c r="A44" s="621" t="s">
        <v>809</v>
      </c>
      <c r="B44" s="622">
        <f>SUM(B25:B43)</f>
        <v>1246067</v>
      </c>
      <c r="C44" s="622">
        <f>SUM(C25:C43)</f>
        <v>2449207</v>
      </c>
      <c r="D44" s="622">
        <f>SUM(D25:D43)</f>
        <v>380366</v>
      </c>
      <c r="E44" s="622">
        <f>SUM(E25:E43)</f>
        <v>135000</v>
      </c>
      <c r="G44" s="245">
        <f>SUM(B44:F44)</f>
        <v>4210640</v>
      </c>
    </row>
    <row r="45" spans="1:7">
      <c r="B45" s="180"/>
      <c r="C45" s="180"/>
      <c r="D45" s="180"/>
      <c r="E45" s="180"/>
      <c r="G45" s="399">
        <f>+G29/G44</f>
        <v>0.95308266676799724</v>
      </c>
    </row>
    <row r="46" spans="1:7" ht="15">
      <c r="A46" s="249" t="s">
        <v>810</v>
      </c>
    </row>
    <row r="47" spans="1:7" ht="15">
      <c r="A47" s="249"/>
    </row>
    <row r="48" spans="1:7" ht="15">
      <c r="A48" s="249" t="s">
        <v>811</v>
      </c>
    </row>
    <row r="49" spans="1:3">
      <c r="A49" t="s">
        <v>812</v>
      </c>
    </row>
    <row r="52" spans="1:3">
      <c r="A52" s="1" t="s">
        <v>539</v>
      </c>
    </row>
    <row r="53" spans="1:3" ht="13.5" thickBot="1">
      <c r="A53" s="1" t="s">
        <v>1229</v>
      </c>
    </row>
    <row r="54" spans="1:3" ht="26.25" thickBot="1">
      <c r="A54" s="685" t="s">
        <v>38</v>
      </c>
      <c r="B54" s="686" t="s">
        <v>1230</v>
      </c>
      <c r="C54" s="1034" t="s">
        <v>1231</v>
      </c>
    </row>
    <row r="55" spans="1:3">
      <c r="A55" s="793" t="s">
        <v>1232</v>
      </c>
      <c r="B55" s="1035">
        <f>97293+54948</f>
        <v>152241</v>
      </c>
      <c r="C55" s="1036" t="s">
        <v>1233</v>
      </c>
    </row>
    <row r="56" spans="1:3">
      <c r="A56" s="798" t="s">
        <v>1234</v>
      </c>
      <c r="B56" s="1037">
        <f>36981.07+26342.07</f>
        <v>63323.14</v>
      </c>
      <c r="C56" s="1034"/>
    </row>
    <row r="57" spans="1:3">
      <c r="A57" s="1038" t="s">
        <v>1235</v>
      </c>
      <c r="B57" s="1039">
        <f>SUM(B55:B56)</f>
        <v>215564.14</v>
      </c>
      <c r="C57" s="1034"/>
    </row>
    <row r="58" spans="1:3">
      <c r="A58" s="687" t="s">
        <v>41</v>
      </c>
      <c r="B58" s="688">
        <v>2600152</v>
      </c>
      <c r="C58" s="1040"/>
    </row>
    <row r="59" spans="1:3">
      <c r="A59" s="689" t="s">
        <v>42</v>
      </c>
      <c r="B59" s="1041">
        <v>890000</v>
      </c>
      <c r="C59" s="1040"/>
    </row>
    <row r="60" spans="1:3">
      <c r="A60" s="690" t="s">
        <v>43</v>
      </c>
      <c r="B60" s="1041">
        <v>1042151</v>
      </c>
      <c r="C60" s="1040" t="s">
        <v>1236</v>
      </c>
    </row>
    <row r="61" spans="1:3">
      <c r="A61" s="690" t="s">
        <v>44</v>
      </c>
      <c r="B61" s="1042">
        <v>1200</v>
      </c>
    </row>
    <row r="62" spans="1:3">
      <c r="A62" s="691" t="s">
        <v>45</v>
      </c>
      <c r="B62" s="688">
        <v>148000</v>
      </c>
    </row>
    <row r="63" spans="1:3">
      <c r="A63" s="793" t="s">
        <v>46</v>
      </c>
      <c r="B63" s="1041">
        <v>62720</v>
      </c>
      <c r="C63" s="1040" t="s">
        <v>1237</v>
      </c>
    </row>
    <row r="64" spans="1:3">
      <c r="A64" s="794" t="s">
        <v>0</v>
      </c>
      <c r="B64" s="795">
        <f>SUM(B58:B63)</f>
        <v>4744223</v>
      </c>
      <c r="C64" s="245"/>
    </row>
    <row r="65" spans="1:3">
      <c r="A65" s="692" t="s">
        <v>1</v>
      </c>
      <c r="B65" s="1042">
        <v>1680</v>
      </c>
      <c r="C65" s="384"/>
    </row>
    <row r="66" spans="1:3">
      <c r="A66" s="692" t="s">
        <v>2</v>
      </c>
      <c r="B66" s="1042">
        <v>548427</v>
      </c>
      <c r="C66" s="384"/>
    </row>
    <row r="67" spans="1:3" ht="13.5" thickBot="1">
      <c r="A67" s="693" t="s">
        <v>3</v>
      </c>
      <c r="B67" s="1042">
        <v>15000</v>
      </c>
      <c r="C67" s="384"/>
    </row>
    <row r="68" spans="1:3" ht="13.5" thickBot="1">
      <c r="A68" s="694" t="s">
        <v>4</v>
      </c>
      <c r="B68" s="1043">
        <f>SUM(B65:B67)</f>
        <v>565107</v>
      </c>
      <c r="C68" s="384"/>
    </row>
    <row r="69" spans="1:3" ht="13.5" thickBot="1">
      <c r="A69" s="695" t="s">
        <v>625</v>
      </c>
      <c r="B69" s="796">
        <f>SUM(B57,B64,B68)</f>
        <v>5524894.1399999997</v>
      </c>
    </row>
    <row r="70" spans="1:3">
      <c r="A70" s="696" t="s">
        <v>5</v>
      </c>
    </row>
    <row r="71" spans="1:3">
      <c r="A71" s="71" t="s">
        <v>1238</v>
      </c>
      <c r="B71" s="245">
        <f>+B140</f>
        <v>4720128.0150000006</v>
      </c>
    </row>
    <row r="73" spans="1:3" ht="13.5" thickBot="1">
      <c r="A73" s="447" t="s">
        <v>1239</v>
      </c>
      <c r="B73" s="1053"/>
      <c r="C73" s="314"/>
    </row>
    <row r="74" spans="1:3" ht="13.5" thickBot="1">
      <c r="A74" s="1054" t="s">
        <v>1240</v>
      </c>
      <c r="B74" s="1044" t="s">
        <v>1241</v>
      </c>
      <c r="C74" s="314"/>
    </row>
    <row r="75" spans="1:3" ht="13.5" thickTop="1">
      <c r="A75" s="1055" t="s">
        <v>1242</v>
      </c>
      <c r="B75" s="1056">
        <v>152241</v>
      </c>
      <c r="C75" s="314"/>
    </row>
    <row r="76" spans="1:3">
      <c r="A76" s="1057" t="s">
        <v>1243</v>
      </c>
      <c r="B76" s="1058">
        <v>63323.14</v>
      </c>
      <c r="C76" s="314"/>
    </row>
    <row r="77" spans="1:3">
      <c r="A77" s="1059" t="s">
        <v>1244</v>
      </c>
      <c r="B77" s="1045">
        <v>15750</v>
      </c>
      <c r="C77" s="314"/>
    </row>
    <row r="78" spans="1:3">
      <c r="A78" s="1051" t="s">
        <v>1245</v>
      </c>
      <c r="B78" s="1042">
        <v>136000</v>
      </c>
      <c r="C78" s="314"/>
    </row>
    <row r="79" spans="1:3">
      <c r="A79" s="1051" t="s">
        <v>1246</v>
      </c>
      <c r="B79" s="1042">
        <v>4350</v>
      </c>
      <c r="C79" s="314"/>
    </row>
    <row r="80" spans="1:3">
      <c r="A80" s="1051" t="s">
        <v>1247</v>
      </c>
      <c r="B80" s="1042">
        <v>300</v>
      </c>
      <c r="C80" s="314"/>
    </row>
    <row r="81" spans="1:3">
      <c r="A81" s="1051" t="s">
        <v>1248</v>
      </c>
      <c r="B81" s="1042">
        <v>720</v>
      </c>
      <c r="C81" s="314"/>
    </row>
    <row r="82" spans="1:3">
      <c r="A82" s="1051" t="s">
        <v>1249</v>
      </c>
      <c r="B82" s="1042">
        <v>801</v>
      </c>
      <c r="C82" s="314" t="s">
        <v>1250</v>
      </c>
    </row>
    <row r="83" spans="1:3">
      <c r="A83" s="1051" t="s">
        <v>1251</v>
      </c>
      <c r="B83" s="1042">
        <v>276510</v>
      </c>
      <c r="C83" s="314"/>
    </row>
    <row r="84" spans="1:3">
      <c r="A84" s="1060" t="s">
        <v>1252</v>
      </c>
      <c r="B84" s="1042">
        <v>2715</v>
      </c>
      <c r="C84" s="314"/>
    </row>
    <row r="85" spans="1:3">
      <c r="A85" s="1060" t="s">
        <v>1253</v>
      </c>
      <c r="B85" s="1042">
        <v>2775</v>
      </c>
      <c r="C85" s="314"/>
    </row>
    <row r="86" spans="1:3">
      <c r="A86" s="1051" t="s">
        <v>1254</v>
      </c>
      <c r="B86" s="1042">
        <v>824600</v>
      </c>
      <c r="C86" s="314"/>
    </row>
    <row r="87" spans="1:3">
      <c r="A87" s="1060" t="s">
        <v>1255</v>
      </c>
      <c r="B87" s="1061">
        <v>24000</v>
      </c>
      <c r="C87" s="314"/>
    </row>
    <row r="88" spans="1:3">
      <c r="A88" s="1060" t="s">
        <v>1256</v>
      </c>
      <c r="B88" s="1061">
        <v>7120</v>
      </c>
      <c r="C88" s="314"/>
    </row>
    <row r="89" spans="1:3">
      <c r="A89" s="1060" t="s">
        <v>1257</v>
      </c>
      <c r="B89" s="1061">
        <v>7280</v>
      </c>
      <c r="C89" s="314"/>
    </row>
    <row r="90" spans="1:3">
      <c r="A90" s="1051" t="s">
        <v>1258</v>
      </c>
      <c r="B90" s="1042">
        <v>294000</v>
      </c>
      <c r="C90" s="314"/>
    </row>
    <row r="91" spans="1:3">
      <c r="A91" s="1060" t="s">
        <v>1259</v>
      </c>
      <c r="B91" s="1061">
        <v>2400</v>
      </c>
      <c r="C91" s="314"/>
    </row>
    <row r="92" spans="1:3">
      <c r="A92" s="1060" t="s">
        <v>1260</v>
      </c>
      <c r="B92" s="1061">
        <v>1800</v>
      </c>
      <c r="C92" s="314"/>
    </row>
    <row r="93" spans="1:3">
      <c r="A93" s="1060" t="s">
        <v>1261</v>
      </c>
      <c r="B93" s="1061">
        <v>1800</v>
      </c>
      <c r="C93" s="314"/>
    </row>
    <row r="94" spans="1:3">
      <c r="A94" s="1051" t="s">
        <v>1262</v>
      </c>
      <c r="B94" s="1042">
        <v>300</v>
      </c>
      <c r="C94" s="314"/>
    </row>
    <row r="95" spans="1:3">
      <c r="A95" s="1051" t="s">
        <v>1263</v>
      </c>
      <c r="B95" s="1042">
        <v>55250</v>
      </c>
      <c r="C95" s="314"/>
    </row>
    <row r="96" spans="1:3">
      <c r="A96" s="1060" t="s">
        <v>1264</v>
      </c>
      <c r="B96" s="1061">
        <v>9750</v>
      </c>
      <c r="C96" s="314"/>
    </row>
    <row r="97" spans="1:3">
      <c r="A97" s="1051" t="s">
        <v>1265</v>
      </c>
      <c r="B97" s="1062">
        <v>12000</v>
      </c>
      <c r="C97" s="314"/>
    </row>
    <row r="98" spans="1:3">
      <c r="A98" s="1051" t="s">
        <v>1266</v>
      </c>
      <c r="B98" s="1042">
        <v>149433.375</v>
      </c>
      <c r="C98" s="314"/>
    </row>
    <row r="99" spans="1:3">
      <c r="A99" s="1060" t="s">
        <v>1267</v>
      </c>
      <c r="B99" s="1042">
        <v>1568.175</v>
      </c>
      <c r="C99" s="314"/>
    </row>
    <row r="100" spans="1:3">
      <c r="A100" s="1060" t="s">
        <v>1268</v>
      </c>
      <c r="B100" s="1042">
        <v>1248.4499999999998</v>
      </c>
      <c r="C100" s="314"/>
    </row>
    <row r="101" spans="1:3">
      <c r="A101" s="1051" t="s">
        <v>1269</v>
      </c>
      <c r="B101" s="1042">
        <v>310432</v>
      </c>
      <c r="C101" s="314"/>
    </row>
    <row r="102" spans="1:3">
      <c r="A102" s="1060" t="s">
        <v>1270</v>
      </c>
      <c r="B102" s="1061">
        <v>4800</v>
      </c>
      <c r="C102" s="314"/>
    </row>
    <row r="103" spans="1:3">
      <c r="A103" s="1060" t="s">
        <v>1271</v>
      </c>
      <c r="B103" s="1061">
        <v>3296</v>
      </c>
      <c r="C103" s="314"/>
    </row>
    <row r="104" spans="1:3">
      <c r="A104" s="1060" t="s">
        <v>1272</v>
      </c>
      <c r="B104" s="1061">
        <v>2623.9999999999995</v>
      </c>
      <c r="C104" s="314"/>
    </row>
    <row r="105" spans="1:3">
      <c r="A105" s="1051" t="s">
        <v>1273</v>
      </c>
      <c r="B105" s="1042">
        <v>183540.5</v>
      </c>
      <c r="C105" s="314"/>
    </row>
    <row r="106" spans="1:3">
      <c r="A106" s="1060" t="s">
        <v>1274</v>
      </c>
      <c r="B106" s="1063">
        <v>1926.1000000000001</v>
      </c>
      <c r="C106" s="314"/>
    </row>
    <row r="107" spans="1:3">
      <c r="A107" s="1060" t="s">
        <v>1275</v>
      </c>
      <c r="B107" s="1063">
        <v>1533.3999999999999</v>
      </c>
      <c r="C107" s="314"/>
    </row>
    <row r="108" spans="1:3">
      <c r="A108" s="1051" t="s">
        <v>1276</v>
      </c>
      <c r="B108" s="1042">
        <v>300</v>
      </c>
      <c r="C108" s="314"/>
    </row>
    <row r="109" spans="1:3">
      <c r="A109" s="1051" t="s">
        <v>1277</v>
      </c>
      <c r="B109" s="1042">
        <v>15300</v>
      </c>
      <c r="C109" s="314"/>
    </row>
    <row r="110" spans="1:3">
      <c r="A110" s="1060" t="s">
        <v>1278</v>
      </c>
      <c r="B110" s="1061">
        <v>2700</v>
      </c>
      <c r="C110" s="314"/>
    </row>
    <row r="111" spans="1:3">
      <c r="A111" s="1051" t="s">
        <v>1279</v>
      </c>
      <c r="B111" s="1042">
        <v>10000</v>
      </c>
      <c r="C111" s="314"/>
    </row>
    <row r="112" spans="1:3">
      <c r="A112" s="1051" t="s">
        <v>1280</v>
      </c>
      <c r="B112" s="1042">
        <v>408908</v>
      </c>
      <c r="C112" s="314"/>
    </row>
    <row r="113" spans="1:3">
      <c r="A113" s="1060" t="s">
        <v>1281</v>
      </c>
      <c r="B113" s="1061">
        <v>5015.9999999999991</v>
      </c>
      <c r="C113" s="314"/>
    </row>
    <row r="114" spans="1:3">
      <c r="A114" s="1060" t="s">
        <v>1282</v>
      </c>
      <c r="B114" s="1061">
        <v>3036</v>
      </c>
      <c r="C114" s="314"/>
    </row>
    <row r="115" spans="1:3">
      <c r="A115" s="1064" t="s">
        <v>1283</v>
      </c>
      <c r="B115" s="1065">
        <v>23040</v>
      </c>
      <c r="C115" s="314" t="s">
        <v>1284</v>
      </c>
    </row>
    <row r="116" spans="1:3">
      <c r="A116" s="1051" t="s">
        <v>1285</v>
      </c>
      <c r="B116" s="1042">
        <v>1208556</v>
      </c>
      <c r="C116" s="314"/>
    </row>
    <row r="117" spans="1:3">
      <c r="A117" s="1060" t="s">
        <v>1286</v>
      </c>
      <c r="B117" s="1061">
        <v>43520</v>
      </c>
      <c r="C117" s="314"/>
    </row>
    <row r="118" spans="1:3">
      <c r="A118" s="1060" t="s">
        <v>1287</v>
      </c>
      <c r="B118" s="1061">
        <v>14591.999999999998</v>
      </c>
      <c r="C118" s="314"/>
    </row>
    <row r="119" spans="1:3">
      <c r="A119" s="1060" t="s">
        <v>1288</v>
      </c>
      <c r="B119" s="1061">
        <v>8832</v>
      </c>
      <c r="C119" s="314"/>
    </row>
    <row r="120" spans="1:3">
      <c r="A120" s="1064" t="s">
        <v>1283</v>
      </c>
      <c r="B120" s="1065">
        <v>4500</v>
      </c>
      <c r="C120" s="314" t="s">
        <v>1284</v>
      </c>
    </row>
    <row r="121" spans="1:3">
      <c r="A121" s="1051" t="s">
        <v>1289</v>
      </c>
      <c r="B121" s="1042">
        <v>355563</v>
      </c>
      <c r="C121" s="314"/>
    </row>
    <row r="122" spans="1:3">
      <c r="A122" s="1060" t="s">
        <v>1290</v>
      </c>
      <c r="B122" s="1066">
        <v>27300.000000000004</v>
      </c>
      <c r="C122" s="314"/>
    </row>
    <row r="123" spans="1:3">
      <c r="A123" s="1060" t="s">
        <v>1291</v>
      </c>
      <c r="B123" s="1066">
        <v>4445.9999999999991</v>
      </c>
      <c r="C123" s="314"/>
    </row>
    <row r="124" spans="1:3">
      <c r="A124" s="1060" t="s">
        <v>1292</v>
      </c>
      <c r="B124" s="1066">
        <v>2691</v>
      </c>
      <c r="C124" s="314"/>
    </row>
    <row r="125" spans="1:3">
      <c r="A125" s="1051" t="s">
        <v>1293</v>
      </c>
      <c r="B125" s="1042">
        <v>160000</v>
      </c>
      <c r="C125" s="314" t="s">
        <v>1294</v>
      </c>
    </row>
    <row r="126" spans="1:3">
      <c r="A126" s="1051" t="s">
        <v>1295</v>
      </c>
      <c r="B126" s="1046">
        <v>300</v>
      </c>
      <c r="C126" s="314"/>
    </row>
    <row r="127" spans="1:3">
      <c r="A127" s="1051" t="s">
        <v>1296</v>
      </c>
      <c r="B127" s="1042">
        <v>53650</v>
      </c>
      <c r="C127" s="314"/>
    </row>
    <row r="128" spans="1:3">
      <c r="A128" s="1060" t="s">
        <v>1297</v>
      </c>
      <c r="B128" s="1061">
        <v>9750</v>
      </c>
      <c r="C128" s="314"/>
    </row>
    <row r="129" spans="1:3">
      <c r="A129" s="1060" t="s">
        <v>1298</v>
      </c>
      <c r="B129" s="1061">
        <v>1000</v>
      </c>
      <c r="C129" s="314"/>
    </row>
    <row r="130" spans="1:3">
      <c r="A130" s="1060" t="s">
        <v>1299</v>
      </c>
      <c r="B130" s="1061">
        <v>600</v>
      </c>
      <c r="C130" s="314"/>
    </row>
    <row r="131" spans="1:3">
      <c r="A131" s="1059" t="s">
        <v>1300</v>
      </c>
      <c r="B131" s="1042">
        <v>40000</v>
      </c>
      <c r="C131" s="314"/>
    </row>
    <row r="132" spans="1:3" ht="13.5" thickBot="1">
      <c r="A132" s="1047" t="s">
        <v>0</v>
      </c>
      <c r="B132" s="1048">
        <v>4959787.1400000006</v>
      </c>
      <c r="C132" s="1067"/>
    </row>
    <row r="133" spans="1:3">
      <c r="A133" s="1049" t="s">
        <v>1301</v>
      </c>
      <c r="B133" s="1050">
        <v>1680</v>
      </c>
      <c r="C133" s="314"/>
    </row>
    <row r="134" spans="1:3">
      <c r="A134" s="1051" t="s">
        <v>1302</v>
      </c>
      <c r="B134" s="1042">
        <v>548426.64150700008</v>
      </c>
      <c r="C134" s="314"/>
    </row>
    <row r="135" spans="1:3">
      <c r="A135" s="1051" t="s">
        <v>1303</v>
      </c>
      <c r="B135" s="1042">
        <v>15000</v>
      </c>
      <c r="C135" s="314"/>
    </row>
    <row r="136" spans="1:3" ht="13.5" thickBot="1">
      <c r="A136" s="1052" t="s">
        <v>4</v>
      </c>
      <c r="B136" s="1068">
        <v>565106.64150700008</v>
      </c>
      <c r="C136" s="314"/>
    </row>
    <row r="137" spans="1:3">
      <c r="A137" s="314"/>
      <c r="B137" s="314"/>
      <c r="C137" s="314"/>
    </row>
    <row r="138" spans="1:3">
      <c r="A138" s="447" t="s">
        <v>625</v>
      </c>
      <c r="B138" s="1069">
        <v>5524893.7815070003</v>
      </c>
      <c r="C138" s="314"/>
    </row>
    <row r="139" spans="1:3">
      <c r="A139" s="314"/>
      <c r="B139" s="314"/>
      <c r="C139" s="314"/>
    </row>
    <row r="140" spans="1:3">
      <c r="A140" s="314" t="s">
        <v>1304</v>
      </c>
      <c r="B140" s="1070">
        <v>4720128.0150000006</v>
      </c>
      <c r="C140" s="314"/>
    </row>
    <row r="141" spans="1:3">
      <c r="A141" s="314" t="s">
        <v>1313</v>
      </c>
      <c r="B141" s="245">
        <f>SUM(B136,B131,B125:B127,B120:B121,B115:B116,B111:B112,B108:B109,B105,B97:B101,B94:B95,B90,B75:B86)</f>
        <v>5333081.2815070003</v>
      </c>
    </row>
  </sheetData>
  <mergeCells count="3">
    <mergeCell ref="A5:A6"/>
    <mergeCell ref="A19:B19"/>
    <mergeCell ref="D5:D6"/>
  </mergeCells>
  <phoneticPr fontId="61" type="noConversion"/>
  <pageMargins left="0.25" right="0.25" top="0.75" bottom="0.75" header="0.3" footer="0.3"/>
  <pageSetup scale="79" fitToWidth="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46"/>
  <sheetViews>
    <sheetView workbookViewId="0">
      <selection sqref="A1:XFD1048576"/>
    </sheetView>
  </sheetViews>
  <sheetFormatPr defaultColWidth="8.85546875" defaultRowHeight="12.75"/>
  <cols>
    <col min="2" max="6" width="14.7109375" bestFit="1" customWidth="1"/>
    <col min="7" max="7" width="11.42578125" bestFit="1" customWidth="1"/>
  </cols>
  <sheetData>
    <row r="1" spans="1:7">
      <c r="A1" t="s">
        <v>1119</v>
      </c>
    </row>
    <row r="2" spans="1:7">
      <c r="B2" s="44" t="s">
        <v>619</v>
      </c>
      <c r="C2" s="44" t="s">
        <v>620</v>
      </c>
      <c r="D2" s="44" t="s">
        <v>621</v>
      </c>
      <c r="E2" s="45" t="s">
        <v>622</v>
      </c>
      <c r="F2" s="45" t="s">
        <v>623</v>
      </c>
    </row>
    <row r="3" spans="1:7">
      <c r="A3" t="s">
        <v>1116</v>
      </c>
      <c r="B3" s="180">
        <v>13468135</v>
      </c>
      <c r="C3" s="180">
        <v>16861078</v>
      </c>
      <c r="D3" s="180">
        <v>29744106</v>
      </c>
      <c r="E3" s="180">
        <v>9827594</v>
      </c>
      <c r="F3" s="180">
        <v>7370769</v>
      </c>
    </row>
    <row r="4" spans="1:7">
      <c r="A4" t="s">
        <v>1117</v>
      </c>
      <c r="B4" s="244">
        <v>2393969</v>
      </c>
      <c r="C4" s="244">
        <v>744627</v>
      </c>
      <c r="D4" s="244">
        <v>1304540</v>
      </c>
      <c r="E4" s="244">
        <v>2033728</v>
      </c>
      <c r="F4" s="244">
        <v>683686</v>
      </c>
    </row>
    <row r="5" spans="1:7">
      <c r="B5" s="180">
        <v>15862104</v>
      </c>
      <c r="C5" s="180">
        <v>17605705</v>
      </c>
      <c r="D5" s="180">
        <v>31048646</v>
      </c>
      <c r="E5" s="180">
        <v>11861322</v>
      </c>
      <c r="F5" s="180">
        <v>8054455</v>
      </c>
    </row>
    <row r="7" spans="1:7">
      <c r="A7" t="s">
        <v>1118</v>
      </c>
      <c r="B7" s="196">
        <v>3.1E-2</v>
      </c>
    </row>
    <row r="9" spans="1:7">
      <c r="A9" t="s">
        <v>521</v>
      </c>
      <c r="B9" s="285">
        <v>74213.039000000004</v>
      </c>
      <c r="C9" s="245">
        <v>23083.436999999998</v>
      </c>
      <c r="D9" s="245">
        <v>40440.74</v>
      </c>
      <c r="E9" s="245">
        <v>63045.567999999999</v>
      </c>
      <c r="F9" s="245">
        <v>21194.266</v>
      </c>
      <c r="G9" s="245">
        <v>221977.05</v>
      </c>
    </row>
    <row r="11" spans="1:7">
      <c r="A11" s="71" t="s">
        <v>1221</v>
      </c>
    </row>
    <row r="12" spans="1:7">
      <c r="B12" s="44" t="s">
        <v>619</v>
      </c>
      <c r="C12" s="44" t="s">
        <v>620</v>
      </c>
      <c r="D12" s="44" t="s">
        <v>621</v>
      </c>
      <c r="E12" s="45" t="s">
        <v>622</v>
      </c>
      <c r="F12" s="45" t="s">
        <v>623</v>
      </c>
    </row>
    <row r="13" spans="1:7">
      <c r="A13" t="s">
        <v>1116</v>
      </c>
      <c r="B13" s="606">
        <v>32259510</v>
      </c>
      <c r="C13" s="180">
        <v>18241584</v>
      </c>
      <c r="D13" s="180">
        <v>33082434</v>
      </c>
      <c r="E13" s="180">
        <v>10896084</v>
      </c>
      <c r="F13" s="180">
        <v>8787747</v>
      </c>
    </row>
    <row r="14" spans="1:7">
      <c r="A14" t="s">
        <v>1117</v>
      </c>
      <c r="B14" s="244">
        <v>1320139</v>
      </c>
      <c r="C14" s="244">
        <v>675860</v>
      </c>
      <c r="D14" s="244">
        <v>1103241</v>
      </c>
      <c r="E14" s="244">
        <v>1923218</v>
      </c>
      <c r="F14" s="244">
        <v>1143713</v>
      </c>
    </row>
    <row r="15" spans="1:7">
      <c r="B15" s="180">
        <v>33579649</v>
      </c>
      <c r="C15" s="180">
        <v>18917444</v>
      </c>
      <c r="D15" s="180">
        <v>34185675</v>
      </c>
      <c r="E15" s="180">
        <v>12819302</v>
      </c>
      <c r="F15" s="180">
        <v>9931460</v>
      </c>
    </row>
    <row r="17" spans="1:8">
      <c r="A17" t="s">
        <v>1118</v>
      </c>
      <c r="B17" s="196">
        <v>3.1E-2</v>
      </c>
    </row>
    <row r="19" spans="1:8">
      <c r="A19" t="s">
        <v>521</v>
      </c>
      <c r="B19" s="245">
        <v>40924.309000000001</v>
      </c>
      <c r="C19" s="285">
        <v>20951.66</v>
      </c>
      <c r="D19" s="245">
        <v>34200.470999999998</v>
      </c>
      <c r="E19" s="245">
        <v>59619.758000000002</v>
      </c>
      <c r="F19" s="245">
        <v>35455.103000000003</v>
      </c>
      <c r="G19" s="245">
        <v>191151.30100000001</v>
      </c>
    </row>
    <row r="24" spans="1:8">
      <c r="A24" t="s">
        <v>926</v>
      </c>
    </row>
    <row r="26" spans="1:8">
      <c r="A26" s="482" t="s">
        <v>1613</v>
      </c>
    </row>
    <row r="27" spans="1:8">
      <c r="B27" s="44" t="s">
        <v>619</v>
      </c>
      <c r="C27" s="44" t="s">
        <v>620</v>
      </c>
      <c r="D27" s="44" t="s">
        <v>621</v>
      </c>
      <c r="E27" s="45" t="s">
        <v>622</v>
      </c>
      <c r="F27" s="45" t="s">
        <v>623</v>
      </c>
    </row>
    <row r="28" spans="1:8">
      <c r="A28" t="s">
        <v>1116</v>
      </c>
      <c r="B28" s="606">
        <v>34291421</v>
      </c>
      <c r="C28" s="180">
        <v>20583077</v>
      </c>
      <c r="D28" s="180">
        <v>34534714</v>
      </c>
      <c r="E28" s="180" t="e">
        <v>#REF!</v>
      </c>
      <c r="F28" s="180" t="e">
        <v>#REF!</v>
      </c>
    </row>
    <row r="29" spans="1:8">
      <c r="A29" t="s">
        <v>1117</v>
      </c>
      <c r="B29" s="244">
        <v>1445576</v>
      </c>
      <c r="C29" s="244">
        <v>657950</v>
      </c>
      <c r="D29" s="244">
        <v>1336478</v>
      </c>
      <c r="E29" s="244" t="e">
        <v>#REF!</v>
      </c>
      <c r="F29" s="244" t="e">
        <v>#REF!</v>
      </c>
      <c r="H29" t="s">
        <v>1656</v>
      </c>
    </row>
    <row r="30" spans="1:8">
      <c r="B30" s="180">
        <v>35736997</v>
      </c>
      <c r="C30" s="180">
        <v>21241027</v>
      </c>
      <c r="D30" s="180">
        <v>35871192</v>
      </c>
      <c r="E30" s="180" t="e">
        <v>#REF!</v>
      </c>
      <c r="F30" s="180" t="e">
        <v>#REF!</v>
      </c>
      <c r="G30" s="245" t="e">
        <v>#REF!</v>
      </c>
    </row>
    <row r="32" spans="1:8">
      <c r="A32" t="s">
        <v>1118</v>
      </c>
      <c r="B32" s="196">
        <v>3.4200000000000001E-2</v>
      </c>
    </row>
    <row r="34" spans="1:8">
      <c r="A34" t="s">
        <v>521</v>
      </c>
      <c r="B34" s="285">
        <v>49438.699200000003</v>
      </c>
      <c r="C34" s="285">
        <v>22501.89</v>
      </c>
      <c r="D34" s="245">
        <v>45707.547599999998</v>
      </c>
      <c r="E34" s="245" t="e">
        <v>#REF!</v>
      </c>
      <c r="F34" s="245" t="e">
        <v>#REF!</v>
      </c>
      <c r="G34" s="245" t="e">
        <v>#REF!</v>
      </c>
    </row>
    <row r="38" spans="1:8" s="1234" customFormat="1">
      <c r="A38" s="1456" t="s">
        <v>1936</v>
      </c>
    </row>
    <row r="39" spans="1:8" s="1234" customFormat="1">
      <c r="B39" s="2034" t="s">
        <v>619</v>
      </c>
      <c r="C39" s="2034" t="s">
        <v>620</v>
      </c>
      <c r="D39" s="2034" t="s">
        <v>621</v>
      </c>
      <c r="E39" s="2034" t="s">
        <v>622</v>
      </c>
      <c r="F39" s="2034" t="s">
        <v>623</v>
      </c>
    </row>
    <row r="40" spans="1:8" s="1234" customFormat="1">
      <c r="A40" s="1234" t="s">
        <v>1116</v>
      </c>
      <c r="B40" s="2035">
        <v>39660972.859999999</v>
      </c>
      <c r="C40" s="922">
        <v>24641630.359999999</v>
      </c>
      <c r="D40" s="922">
        <v>39723789.289999999</v>
      </c>
      <c r="E40" s="922">
        <v>15204627.829999998</v>
      </c>
      <c r="F40" s="922">
        <v>9581523.9499999993</v>
      </c>
    </row>
    <row r="41" spans="1:8" s="1234" customFormat="1">
      <c r="A41" s="1234" t="s">
        <v>1117</v>
      </c>
      <c r="B41" s="2036">
        <v>4261727.4400000004</v>
      </c>
      <c r="C41" s="2036">
        <v>1537423.2899999998</v>
      </c>
      <c r="D41" s="2036">
        <v>6876992.54</v>
      </c>
      <c r="E41" s="2036">
        <v>4404109.45</v>
      </c>
      <c r="F41" s="2036">
        <v>765485.7699999999</v>
      </c>
      <c r="H41" s="1234" t="s">
        <v>1656</v>
      </c>
    </row>
    <row r="42" spans="1:8" s="1234" customFormat="1">
      <c r="B42" s="922">
        <v>43922700.299999997</v>
      </c>
      <c r="C42" s="922">
        <v>26179053.649999999</v>
      </c>
      <c r="D42" s="922">
        <v>46600781.829999998</v>
      </c>
      <c r="E42" s="922">
        <v>19608737.279999997</v>
      </c>
      <c r="F42" s="922">
        <v>10347009.719999999</v>
      </c>
      <c r="G42" s="2037">
        <v>29955746.999999996</v>
      </c>
    </row>
    <row r="43" spans="1:8" s="1234" customFormat="1"/>
    <row r="44" spans="1:8">
      <c r="A44" t="s">
        <v>1118</v>
      </c>
      <c r="B44" s="196">
        <v>3.6600000000000001E-2</v>
      </c>
    </row>
    <row r="46" spans="1:8" s="1" customFormat="1">
      <c r="A46" s="1" t="s">
        <v>521</v>
      </c>
      <c r="B46" s="2038">
        <v>155979.224304</v>
      </c>
      <c r="C46" s="2038">
        <v>56269.692413999997</v>
      </c>
      <c r="D46" s="278">
        <v>251697.92696400001</v>
      </c>
      <c r="E46" s="278">
        <v>161190.40587000002</v>
      </c>
      <c r="F46" s="278">
        <v>28016.779181999998</v>
      </c>
      <c r="G46" s="278">
        <v>653154.02873400005</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E18"/>
  <sheetViews>
    <sheetView workbookViewId="0">
      <selection sqref="A1:E2"/>
    </sheetView>
  </sheetViews>
  <sheetFormatPr defaultColWidth="10.85546875" defaultRowHeight="12.75"/>
  <cols>
    <col min="1" max="1" width="31.42578125" customWidth="1"/>
  </cols>
  <sheetData>
    <row r="1" spans="1:5">
      <c r="A1" s="2088" t="s">
        <v>1888</v>
      </c>
      <c r="B1" s="2089"/>
      <c r="C1" s="2089"/>
      <c r="D1" s="2089"/>
      <c r="E1" s="2090"/>
    </row>
    <row r="2" spans="1:5">
      <c r="A2" s="2091"/>
      <c r="B2" s="2092"/>
      <c r="C2" s="2092"/>
      <c r="D2" s="2092"/>
      <c r="E2" s="2093"/>
    </row>
    <row r="3" spans="1:5">
      <c r="A3" s="2019" t="s">
        <v>1889</v>
      </c>
      <c r="B3" s="2019" t="s">
        <v>1890</v>
      </c>
      <c r="C3" s="2019" t="s">
        <v>1891</v>
      </c>
      <c r="D3" s="2019" t="s">
        <v>1892</v>
      </c>
      <c r="E3" s="2019" t="s">
        <v>1893</v>
      </c>
    </row>
    <row r="4" spans="1:5">
      <c r="A4" s="2020" t="s">
        <v>1894</v>
      </c>
      <c r="B4" s="2020" t="s">
        <v>393</v>
      </c>
      <c r="C4" s="2020" t="s">
        <v>1895</v>
      </c>
      <c r="D4" s="2020">
        <v>3</v>
      </c>
      <c r="E4" s="2020">
        <v>0</v>
      </c>
    </row>
    <row r="5" spans="1:5">
      <c r="A5" s="2020" t="s">
        <v>1896</v>
      </c>
      <c r="B5" s="2020" t="s">
        <v>394</v>
      </c>
      <c r="C5" s="2020" t="s">
        <v>1895</v>
      </c>
      <c r="D5" s="2020">
        <v>0</v>
      </c>
      <c r="E5" s="2020">
        <v>3</v>
      </c>
    </row>
    <row r="6" spans="1:5">
      <c r="A6" s="2020" t="s">
        <v>1897</v>
      </c>
      <c r="B6" s="2020" t="s">
        <v>394</v>
      </c>
      <c r="C6" s="2020" t="s">
        <v>1898</v>
      </c>
      <c r="D6" s="2020">
        <v>3</v>
      </c>
      <c r="E6" s="2020">
        <v>3</v>
      </c>
    </row>
    <row r="7" spans="1:5">
      <c r="A7" s="2020" t="s">
        <v>1899</v>
      </c>
      <c r="B7" s="2020" t="s">
        <v>621</v>
      </c>
      <c r="C7" s="2020" t="s">
        <v>1895</v>
      </c>
      <c r="D7" s="2020">
        <v>3</v>
      </c>
      <c r="E7" s="2020">
        <v>3</v>
      </c>
    </row>
    <row r="8" spans="1:5">
      <c r="A8" s="2020" t="s">
        <v>1900</v>
      </c>
      <c r="B8" s="2020" t="s">
        <v>621</v>
      </c>
      <c r="C8" s="2020" t="s">
        <v>1895</v>
      </c>
      <c r="D8" s="2020">
        <v>3</v>
      </c>
      <c r="E8" s="2020">
        <v>3</v>
      </c>
    </row>
    <row r="9" spans="1:5">
      <c r="A9" s="2020" t="s">
        <v>1901</v>
      </c>
      <c r="B9" s="2020" t="s">
        <v>393</v>
      </c>
      <c r="C9" s="2020" t="s">
        <v>1895</v>
      </c>
      <c r="D9" s="2020">
        <v>0</v>
      </c>
      <c r="E9" s="2020">
        <v>3</v>
      </c>
    </row>
    <row r="10" spans="1:5">
      <c r="A10" s="2020" t="s">
        <v>1902</v>
      </c>
      <c r="B10" s="2020" t="s">
        <v>394</v>
      </c>
      <c r="C10" s="2020" t="s">
        <v>1895</v>
      </c>
      <c r="D10" s="2020">
        <v>3</v>
      </c>
      <c r="E10" s="2020">
        <v>3</v>
      </c>
    </row>
    <row r="11" spans="1:5">
      <c r="A11" s="2020" t="s">
        <v>1903</v>
      </c>
      <c r="B11" s="2020" t="s">
        <v>394</v>
      </c>
      <c r="C11" s="2020" t="s">
        <v>1895</v>
      </c>
      <c r="D11" s="2020">
        <v>3</v>
      </c>
      <c r="E11" s="2020">
        <v>0</v>
      </c>
    </row>
    <row r="12" spans="1:5">
      <c r="A12" s="2020" t="s">
        <v>1904</v>
      </c>
      <c r="B12" s="2020" t="s">
        <v>394</v>
      </c>
      <c r="C12" s="2020" t="s">
        <v>1898</v>
      </c>
      <c r="D12" s="2020">
        <v>4</v>
      </c>
      <c r="E12" s="2020">
        <v>4</v>
      </c>
    </row>
    <row r="13" spans="1:5">
      <c r="A13" s="2020" t="s">
        <v>1905</v>
      </c>
      <c r="B13" s="2020" t="s">
        <v>1906</v>
      </c>
      <c r="C13" s="2020" t="s">
        <v>1898</v>
      </c>
      <c r="D13" s="2020">
        <v>1</v>
      </c>
      <c r="E13" s="2020">
        <v>1</v>
      </c>
    </row>
    <row r="14" spans="1:5">
      <c r="A14" s="2021"/>
      <c r="B14" s="2021"/>
      <c r="C14" s="2022"/>
      <c r="D14" s="2019">
        <f>SUM(D4:D13)</f>
        <v>23</v>
      </c>
      <c r="E14" s="2019">
        <f>SUM(E4:E13)</f>
        <v>23</v>
      </c>
    </row>
    <row r="18" spans="1:1">
      <c r="A18" t="s">
        <v>1908</v>
      </c>
    </row>
  </sheetData>
  <mergeCells count="1">
    <mergeCell ref="A1:E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T392"/>
  <sheetViews>
    <sheetView workbookViewId="0">
      <selection sqref="A1:XFD1048576"/>
    </sheetView>
  </sheetViews>
  <sheetFormatPr defaultColWidth="9.28515625" defaultRowHeight="15" customHeight="1"/>
  <cols>
    <col min="1" max="1" width="4.28515625" style="340" customWidth="1"/>
    <col min="2" max="2" width="27" style="128" customWidth="1"/>
    <col min="3" max="5" width="13.42578125" style="128" hidden="1" customWidth="1"/>
    <col min="6" max="8" width="13.42578125" style="347" hidden="1" customWidth="1"/>
    <col min="9" max="13" width="13.42578125" style="128" hidden="1" customWidth="1"/>
    <col min="14" max="19" width="13.42578125" style="342" hidden="1" customWidth="1"/>
    <col min="20" max="27" width="13.42578125" style="128" hidden="1" customWidth="1"/>
    <col min="28" max="28" width="15.140625" style="128" customWidth="1"/>
    <col min="29" max="29" width="13.7109375" style="128" bestFit="1" customWidth="1"/>
    <col min="30" max="30" width="14.28515625" style="128" bestFit="1" customWidth="1"/>
    <col min="31" max="31" width="14.140625" style="128" bestFit="1" customWidth="1"/>
    <col min="32" max="32" width="12.28515625" style="128" bestFit="1" customWidth="1"/>
    <col min="33" max="33" width="12.28515625" style="128" customWidth="1"/>
    <col min="34" max="34" width="12.28515625" style="128" bestFit="1" customWidth="1"/>
    <col min="35" max="35" width="9.28515625" style="128"/>
    <col min="36" max="36" width="12.28515625" style="128" bestFit="1" customWidth="1"/>
    <col min="37" max="37" width="12" style="128" bestFit="1" customWidth="1"/>
    <col min="38" max="39" width="9.28515625" style="128"/>
    <col min="40" max="40" width="12" style="128" bestFit="1" customWidth="1"/>
    <col min="41" max="41" width="9.28515625" style="128"/>
    <col min="42" max="42" width="10.42578125" style="128" bestFit="1" customWidth="1"/>
    <col min="43" max="43" width="9.28515625" style="128"/>
    <col min="44" max="44" width="13.42578125" style="128" bestFit="1" customWidth="1"/>
    <col min="45" max="45" width="9.7109375" style="128" bestFit="1" customWidth="1"/>
    <col min="46" max="16384" width="9.28515625" style="128"/>
  </cols>
  <sheetData>
    <row r="1" spans="1:46" ht="15" customHeight="1">
      <c r="A1" s="2056" t="s">
        <v>539</v>
      </c>
      <c r="B1" s="2056"/>
      <c r="C1" s="2056"/>
      <c r="D1" s="2056"/>
      <c r="E1" s="2056"/>
      <c r="F1" s="2056"/>
      <c r="G1" s="2056"/>
      <c r="H1" s="2056"/>
      <c r="I1" s="2056"/>
      <c r="J1" s="2056"/>
      <c r="K1" s="2056"/>
      <c r="L1" s="2056"/>
      <c r="M1" s="2056"/>
      <c r="N1" s="2056"/>
      <c r="O1" s="2056"/>
      <c r="P1" s="2056"/>
      <c r="Q1" s="2056"/>
      <c r="R1" s="2056"/>
      <c r="S1" s="2056"/>
      <c r="T1" s="2056"/>
      <c r="U1" s="2056"/>
      <c r="V1" s="2056"/>
      <c r="W1" s="2056"/>
      <c r="X1" s="2056"/>
      <c r="Y1" s="2056"/>
      <c r="Z1" s="2056"/>
      <c r="AA1" s="2056"/>
      <c r="AB1" s="2056"/>
      <c r="AC1" s="2056"/>
      <c r="AD1" s="2056"/>
    </row>
    <row r="2" spans="1:46" ht="15" customHeight="1">
      <c r="A2" s="2056" t="s">
        <v>1194</v>
      </c>
      <c r="B2" s="2056"/>
      <c r="C2" s="2056"/>
      <c r="D2" s="2056"/>
      <c r="E2" s="2056"/>
      <c r="F2" s="2056"/>
      <c r="G2" s="2056"/>
      <c r="H2" s="2056"/>
      <c r="I2" s="2056"/>
      <c r="J2" s="2056"/>
      <c r="K2" s="2056"/>
      <c r="L2" s="2056"/>
      <c r="M2" s="2056"/>
      <c r="N2" s="2056"/>
      <c r="O2" s="2056"/>
      <c r="P2" s="2056"/>
      <c r="Q2" s="2056"/>
      <c r="R2" s="2056"/>
      <c r="S2" s="2056"/>
      <c r="T2" s="2056"/>
      <c r="U2" s="2056"/>
      <c r="V2" s="2056"/>
      <c r="W2" s="2056"/>
      <c r="X2" s="2056"/>
      <c r="Y2" s="2056"/>
      <c r="Z2" s="2056"/>
      <c r="AA2" s="2056"/>
      <c r="AB2" s="2056"/>
      <c r="AC2" s="2056"/>
      <c r="AD2" s="2056"/>
    </row>
    <row r="3" spans="1:46" ht="15" customHeight="1">
      <c r="A3" s="2055">
        <v>43315.520189930554</v>
      </c>
      <c r="B3" s="2055"/>
      <c r="C3" s="2055"/>
      <c r="D3" s="2055"/>
      <c r="E3" s="2055"/>
      <c r="F3" s="2055"/>
      <c r="G3" s="2055"/>
      <c r="H3" s="2055"/>
      <c r="I3" s="2055"/>
      <c r="J3" s="2055"/>
      <c r="K3" s="2055"/>
      <c r="L3" s="2055"/>
      <c r="M3" s="2055"/>
      <c r="N3" s="2055"/>
      <c r="O3" s="2055"/>
      <c r="P3" s="2055"/>
      <c r="Q3" s="2055"/>
      <c r="R3" s="2055"/>
      <c r="S3" s="2055"/>
      <c r="T3" s="2055"/>
      <c r="U3" s="2055"/>
      <c r="V3" s="2055"/>
      <c r="W3" s="2055"/>
      <c r="X3" s="2055"/>
      <c r="Y3" s="2055"/>
      <c r="Z3" s="2055"/>
      <c r="AA3" s="2055"/>
      <c r="AB3" s="2055"/>
      <c r="AC3" s="2055"/>
      <c r="AD3" s="2055"/>
    </row>
    <row r="4" spans="1:46" ht="15" customHeight="1">
      <c r="A4" s="2057" t="s">
        <v>1484</v>
      </c>
      <c r="B4" s="2057"/>
      <c r="C4" s="2057"/>
      <c r="D4" s="2057"/>
      <c r="E4" s="2057"/>
      <c r="F4" s="2057"/>
      <c r="G4" s="2057"/>
      <c r="H4" s="2057"/>
      <c r="I4" s="2057"/>
      <c r="J4" s="2057"/>
      <c r="K4" s="2057"/>
      <c r="L4" s="2057"/>
      <c r="M4" s="2057"/>
      <c r="N4" s="2057"/>
      <c r="O4" s="2057"/>
      <c r="P4" s="2057"/>
      <c r="Q4" s="2057"/>
      <c r="R4" s="2057"/>
      <c r="S4" s="2057"/>
      <c r="T4" s="2057"/>
      <c r="U4" s="2057"/>
      <c r="V4" s="2057"/>
      <c r="W4" s="2057"/>
      <c r="X4" s="2057"/>
      <c r="Y4" s="2057"/>
      <c r="Z4" s="2057"/>
      <c r="AA4" s="2057"/>
      <c r="AB4" s="2057"/>
      <c r="AC4" s="2057"/>
      <c r="AD4" s="2057"/>
      <c r="AE4" s="1456" t="s">
        <v>1636</v>
      </c>
      <c r="AF4" s="1456" t="s">
        <v>1636</v>
      </c>
      <c r="AG4" s="1456"/>
    </row>
    <row r="5" spans="1:46" ht="15" customHeight="1" thickBot="1">
      <c r="B5" s="96"/>
      <c r="C5" s="96"/>
      <c r="D5" s="96"/>
      <c r="E5" s="96"/>
      <c r="F5" s="96"/>
      <c r="G5" s="96"/>
      <c r="H5" s="96"/>
      <c r="I5" s="96"/>
      <c r="J5" s="341"/>
      <c r="AD5" s="1236"/>
    </row>
    <row r="6" spans="1:46" ht="15" customHeight="1" thickBot="1">
      <c r="B6" s="343" t="s">
        <v>540</v>
      </c>
      <c r="C6" s="344" t="s">
        <v>540</v>
      </c>
      <c r="D6" s="345"/>
      <c r="E6" s="346" t="s">
        <v>541</v>
      </c>
      <c r="G6" s="348" t="s">
        <v>541</v>
      </c>
      <c r="I6" s="349"/>
      <c r="J6" s="350"/>
      <c r="K6" s="351"/>
      <c r="L6" s="352" t="s">
        <v>542</v>
      </c>
      <c r="M6" s="109" t="s">
        <v>543</v>
      </c>
      <c r="N6" s="109" t="s">
        <v>544</v>
      </c>
      <c r="O6" s="167" t="s">
        <v>544</v>
      </c>
      <c r="P6" s="167" t="s">
        <v>545</v>
      </c>
      <c r="Q6" s="167" t="s">
        <v>545</v>
      </c>
      <c r="R6" s="110" t="s">
        <v>546</v>
      </c>
      <c r="S6" s="110" t="s">
        <v>482</v>
      </c>
      <c r="T6" s="109" t="s">
        <v>483</v>
      </c>
      <c r="U6" s="109" t="s">
        <v>418</v>
      </c>
      <c r="V6" s="109" t="s">
        <v>334</v>
      </c>
      <c r="W6" s="353" t="s">
        <v>282</v>
      </c>
      <c r="X6" s="509" t="s">
        <v>235</v>
      </c>
      <c r="Y6" s="109" t="s">
        <v>19</v>
      </c>
      <c r="Z6" s="167" t="s">
        <v>816</v>
      </c>
      <c r="AA6" s="167" t="s">
        <v>927</v>
      </c>
      <c r="AB6" s="1154" t="s">
        <v>996</v>
      </c>
      <c r="AC6" s="1446" t="s">
        <v>1015</v>
      </c>
      <c r="AD6" s="1442" t="s">
        <v>1184</v>
      </c>
      <c r="AE6" s="718" t="s">
        <v>1485</v>
      </c>
      <c r="AF6" s="718" t="s">
        <v>1633</v>
      </c>
      <c r="AG6" s="119"/>
    </row>
    <row r="7" spans="1:46" ht="15" customHeight="1" thickBot="1">
      <c r="B7" s="149" t="s">
        <v>547</v>
      </c>
      <c r="C7" s="354" t="s">
        <v>548</v>
      </c>
      <c r="D7" s="355"/>
      <c r="E7" s="356" t="s">
        <v>549</v>
      </c>
      <c r="F7" s="357"/>
      <c r="G7" s="358" t="s">
        <v>550</v>
      </c>
      <c r="H7" s="359"/>
      <c r="I7" s="25"/>
      <c r="J7" s="25"/>
      <c r="K7" s="25"/>
      <c r="L7" s="360" t="s">
        <v>520</v>
      </c>
      <c r="M7" s="109" t="s">
        <v>520</v>
      </c>
      <c r="N7" s="118" t="s">
        <v>551</v>
      </c>
      <c r="O7" s="167" t="s">
        <v>520</v>
      </c>
      <c r="P7" s="167" t="s">
        <v>551</v>
      </c>
      <c r="Q7" s="209" t="s">
        <v>520</v>
      </c>
      <c r="R7" s="193" t="s">
        <v>551</v>
      </c>
      <c r="S7" s="193" t="s">
        <v>551</v>
      </c>
      <c r="T7" s="193" t="s">
        <v>551</v>
      </c>
      <c r="U7" s="193" t="s">
        <v>551</v>
      </c>
      <c r="V7" s="193" t="s">
        <v>551</v>
      </c>
      <c r="W7" s="193" t="s">
        <v>551</v>
      </c>
      <c r="X7" s="193" t="s">
        <v>551</v>
      </c>
      <c r="Y7" s="193" t="s">
        <v>551</v>
      </c>
      <c r="Z7" s="198" t="s">
        <v>551</v>
      </c>
      <c r="AA7" s="198" t="s">
        <v>551</v>
      </c>
      <c r="AB7" s="198" t="s">
        <v>551</v>
      </c>
      <c r="AC7" s="198" t="s">
        <v>551</v>
      </c>
      <c r="AD7" s="1301" t="s">
        <v>551</v>
      </c>
      <c r="AE7" s="719" t="s">
        <v>410</v>
      </c>
      <c r="AF7" s="719" t="s">
        <v>410</v>
      </c>
      <c r="AG7" s="1688"/>
    </row>
    <row r="8" spans="1:46" ht="15" customHeight="1" thickBot="1">
      <c r="B8" s="149"/>
      <c r="C8" s="351"/>
      <c r="D8" s="351"/>
      <c r="E8" s="351"/>
      <c r="F8" s="357"/>
      <c r="G8" s="351"/>
      <c r="H8" s="359"/>
      <c r="I8" s="25"/>
      <c r="J8" s="25"/>
      <c r="K8" s="25"/>
      <c r="L8" s="361"/>
      <c r="M8" s="119"/>
      <c r="N8" s="119"/>
      <c r="O8" s="119"/>
      <c r="P8" s="362"/>
      <c r="R8" s="363"/>
      <c r="S8" s="363"/>
      <c r="T8" s="272"/>
      <c r="U8" s="272"/>
      <c r="V8" s="272"/>
      <c r="W8" s="272"/>
      <c r="X8" s="510"/>
      <c r="Y8" s="272"/>
      <c r="Z8" s="510"/>
      <c r="AA8" s="510"/>
      <c r="AB8" s="60"/>
      <c r="AC8" s="1447"/>
      <c r="AD8" s="1301"/>
      <c r="AE8" s="726"/>
      <c r="AF8" s="726"/>
      <c r="AG8" s="25"/>
    </row>
    <row r="9" spans="1:46" s="124" customFormat="1" ht="15" customHeight="1">
      <c r="A9" s="144">
        <v>1</v>
      </c>
      <c r="B9" s="837" t="s">
        <v>978</v>
      </c>
      <c r="C9" s="364">
        <v>69650000</v>
      </c>
      <c r="D9" s="364"/>
      <c r="E9" s="364">
        <v>71902445</v>
      </c>
      <c r="F9" s="364"/>
      <c r="G9" s="364">
        <v>71933553</v>
      </c>
      <c r="H9" s="364"/>
      <c r="L9" s="125">
        <v>76244501.899999991</v>
      </c>
      <c r="M9" s="125">
        <v>76344624</v>
      </c>
      <c r="N9" s="125">
        <v>78229700</v>
      </c>
      <c r="O9" s="125" t="e">
        <v>#REF!</v>
      </c>
      <c r="P9" s="207" t="e">
        <v>#REF!</v>
      </c>
      <c r="Q9" s="365">
        <v>99307347</v>
      </c>
      <c r="R9" s="172" t="e">
        <v>#REF!</v>
      </c>
      <c r="S9" s="172" t="e">
        <v>#REF!</v>
      </c>
      <c r="T9" s="172" t="e">
        <v>#REF!</v>
      </c>
      <c r="U9" s="172" t="e">
        <v>#REF!</v>
      </c>
      <c r="V9" s="172" t="e">
        <v>#REF!</v>
      </c>
      <c r="W9" s="172" t="e">
        <v>#REF!</v>
      </c>
      <c r="X9" s="207" t="e">
        <v>#REF!</v>
      </c>
      <c r="Y9" s="172" t="e">
        <v>#REF!</v>
      </c>
      <c r="Z9" s="207">
        <v>107075324.112969</v>
      </c>
      <c r="AA9" s="207">
        <v>114547065.82404806</v>
      </c>
      <c r="AB9" s="847">
        <v>127063321.19660001</v>
      </c>
      <c r="AC9" s="1448">
        <v>137874340.56004998</v>
      </c>
      <c r="AD9" s="1522">
        <v>146911036.75098103</v>
      </c>
      <c r="AE9" s="2007">
        <v>158414170.92858285</v>
      </c>
      <c r="AF9" s="2007">
        <v>170501172.17043373</v>
      </c>
      <c r="AG9" s="125">
        <v>9036696.190931052</v>
      </c>
      <c r="AH9" s="124">
        <v>9036696.190931052</v>
      </c>
      <c r="AJ9" s="124">
        <v>156607486.40098104</v>
      </c>
    </row>
    <row r="10" spans="1:46" ht="15" customHeight="1">
      <c r="A10" s="144">
        <v>2</v>
      </c>
      <c r="B10" s="384" t="s">
        <v>979</v>
      </c>
      <c r="C10" s="145">
        <v>0</v>
      </c>
      <c r="D10" s="145"/>
      <c r="E10" s="366" t="s">
        <v>552</v>
      </c>
      <c r="F10" s="366"/>
      <c r="G10" s="366" t="s">
        <v>553</v>
      </c>
      <c r="H10" s="145"/>
      <c r="L10" s="129">
        <v>0</v>
      </c>
      <c r="M10" s="129">
        <v>0</v>
      </c>
      <c r="N10" s="129">
        <v>0</v>
      </c>
      <c r="O10" s="129">
        <v>0</v>
      </c>
      <c r="P10" s="367">
        <v>0</v>
      </c>
      <c r="Q10" s="131"/>
      <c r="R10" s="247" t="e">
        <v>#REF!</v>
      </c>
      <c r="S10" s="247" t="e">
        <v>#REF!</v>
      </c>
      <c r="T10" s="247" t="e">
        <v>#REF!</v>
      </c>
      <c r="U10" s="247" t="e">
        <v>#REF!</v>
      </c>
      <c r="V10" s="247" t="e">
        <v>#REF!</v>
      </c>
      <c r="W10" s="247" t="e">
        <v>#REF!</v>
      </c>
      <c r="X10" s="367" t="e">
        <v>#REF!</v>
      </c>
      <c r="Y10" s="247" t="e">
        <v>#REF!</v>
      </c>
      <c r="Z10" s="367">
        <v>5878916.6891000001</v>
      </c>
      <c r="AA10" s="367">
        <v>7241070.4598200005</v>
      </c>
      <c r="AB10" s="844">
        <v>6903266.2624000004</v>
      </c>
      <c r="AC10" s="1449">
        <v>8003512.3361240011</v>
      </c>
      <c r="AD10" s="1558">
        <v>9696449.6500000004</v>
      </c>
      <c r="AE10" s="725">
        <v>10426521.466786001</v>
      </c>
      <c r="AF10" s="725">
        <v>11193649.696352772</v>
      </c>
      <c r="AG10" s="125">
        <v>1692937.3138759993</v>
      </c>
      <c r="AH10" s="385"/>
      <c r="AJ10" s="385">
        <v>145877852.89617398</v>
      </c>
    </row>
    <row r="11" spans="1:46" ht="15" customHeight="1">
      <c r="A11" s="144">
        <v>3</v>
      </c>
      <c r="B11" s="384" t="s">
        <v>1503</v>
      </c>
      <c r="C11" s="145"/>
      <c r="D11" s="145"/>
      <c r="E11" s="366"/>
      <c r="F11" s="366"/>
      <c r="G11" s="366"/>
      <c r="H11" s="145"/>
      <c r="L11" s="129">
        <v>611171</v>
      </c>
      <c r="M11" s="129">
        <v>382035</v>
      </c>
      <c r="N11" s="129">
        <v>300000</v>
      </c>
      <c r="O11" s="368">
        <v>72282</v>
      </c>
      <c r="P11" s="367">
        <v>0</v>
      </c>
      <c r="Q11" s="131"/>
      <c r="R11" s="247" t="e">
        <v>#REF!</v>
      </c>
      <c r="S11" s="247" t="e">
        <v>#REF!</v>
      </c>
      <c r="T11" s="247"/>
      <c r="U11" s="247"/>
      <c r="V11" s="247"/>
      <c r="W11" s="247"/>
      <c r="X11" s="367" t="e">
        <v>#REF!</v>
      </c>
      <c r="Y11" s="247" t="e">
        <v>#REF!</v>
      </c>
      <c r="Z11" s="367">
        <v>1961037</v>
      </c>
      <c r="AA11" s="367">
        <v>1816206.4469667461</v>
      </c>
      <c r="AB11" s="844">
        <v>0</v>
      </c>
      <c r="AC11" s="1449"/>
      <c r="AD11" s="1916"/>
      <c r="AE11" s="1808">
        <v>0</v>
      </c>
      <c r="AF11" s="1808">
        <v>0</v>
      </c>
      <c r="AG11" s="125">
        <v>0</v>
      </c>
      <c r="AJ11" s="124">
        <v>10729633.504807055</v>
      </c>
      <c r="AK11" s="131">
        <v>8583706.803845644</v>
      </c>
    </row>
    <row r="12" spans="1:46" ht="15" customHeight="1">
      <c r="A12" s="144">
        <v>4</v>
      </c>
      <c r="B12" s="384" t="s">
        <v>980</v>
      </c>
      <c r="C12" s="145">
        <v>5505000</v>
      </c>
      <c r="D12" s="145"/>
      <c r="E12" s="145">
        <v>5505000</v>
      </c>
      <c r="F12" s="145"/>
      <c r="G12" s="145">
        <v>5505000</v>
      </c>
      <c r="H12" s="145"/>
      <c r="L12" s="129">
        <v>4826332</v>
      </c>
      <c r="M12" s="129">
        <v>4225232</v>
      </c>
      <c r="N12" s="129">
        <v>3552400</v>
      </c>
      <c r="O12" s="129" t="e">
        <v>#REF!</v>
      </c>
      <c r="P12" s="367">
        <v>0</v>
      </c>
      <c r="Q12" s="131"/>
      <c r="R12" s="247" t="e">
        <v>#REF!</v>
      </c>
      <c r="S12" s="247" t="e">
        <v>#REF!</v>
      </c>
      <c r="T12" s="247"/>
      <c r="U12" s="247"/>
      <c r="V12" s="247"/>
      <c r="W12" s="247"/>
      <c r="X12" s="367" t="e">
        <v>#REF!</v>
      </c>
      <c r="Y12" s="247" t="e">
        <v>#REF!</v>
      </c>
      <c r="Z12" s="367">
        <v>8931646.5</v>
      </c>
      <c r="AA12" s="367">
        <v>9895152.8024701811</v>
      </c>
      <c r="AB12" s="844">
        <v>10809027.997695018</v>
      </c>
      <c r="AC12" s="1449">
        <v>10808204.81148684</v>
      </c>
      <c r="AD12" s="1521">
        <v>9599554.3475330155</v>
      </c>
      <c r="AE12" s="1303">
        <v>9214386.5913167987</v>
      </c>
      <c r="AF12" s="1303">
        <v>9111558.3454059623</v>
      </c>
      <c r="AG12" s="2008">
        <v>-1208650.4639538247</v>
      </c>
      <c r="AH12" s="1325">
        <v>10059554.347533016</v>
      </c>
      <c r="AI12" s="1724">
        <v>-6.9266865035548464E-2</v>
      </c>
      <c r="AR12" s="1515">
        <v>10656257</v>
      </c>
      <c r="AS12" s="385">
        <v>-151947.81148684025</v>
      </c>
      <c r="AT12" s="410">
        <v>-1.4058561448183494E-2</v>
      </c>
    </row>
    <row r="13" spans="1:46" ht="15" customHeight="1">
      <c r="A13" s="144">
        <v>5</v>
      </c>
      <c r="B13" s="128" t="s">
        <v>523</v>
      </c>
      <c r="C13" s="145"/>
      <c r="D13" s="145"/>
      <c r="E13" s="145"/>
      <c r="F13" s="145"/>
      <c r="G13" s="145"/>
      <c r="H13" s="145"/>
      <c r="L13" s="129">
        <v>0</v>
      </c>
      <c r="M13" s="129">
        <v>0</v>
      </c>
      <c r="N13" s="129">
        <v>779600</v>
      </c>
      <c r="O13" s="129">
        <v>779601</v>
      </c>
      <c r="P13" s="367">
        <v>298250</v>
      </c>
      <c r="Q13" s="131">
        <v>298250</v>
      </c>
      <c r="R13" s="247" t="e">
        <v>#REF!</v>
      </c>
      <c r="S13" s="247" t="e">
        <v>#REF!</v>
      </c>
      <c r="T13" s="369"/>
      <c r="U13" s="247"/>
      <c r="V13" s="247"/>
      <c r="W13" s="247"/>
      <c r="X13" s="367" t="e">
        <v>#REF!</v>
      </c>
      <c r="Y13" s="247" t="e">
        <v>#REF!</v>
      </c>
      <c r="Z13" s="367">
        <v>0</v>
      </c>
      <c r="AA13" s="367">
        <v>0</v>
      </c>
      <c r="AB13" s="844">
        <v>0</v>
      </c>
      <c r="AC13" s="1449"/>
      <c r="AD13" s="1558"/>
      <c r="AE13" s="725"/>
      <c r="AF13" s="725"/>
      <c r="AG13" s="2008">
        <v>0</v>
      </c>
    </row>
    <row r="14" spans="1:46" ht="15" customHeight="1">
      <c r="A14" s="144">
        <v>6</v>
      </c>
      <c r="B14" s="128" t="s">
        <v>554</v>
      </c>
      <c r="C14" s="145">
        <v>2130000</v>
      </c>
      <c r="D14" s="145"/>
      <c r="E14" s="145">
        <v>2350000</v>
      </c>
      <c r="F14" s="145"/>
      <c r="G14" s="145">
        <v>2350000</v>
      </c>
      <c r="H14" s="145"/>
      <c r="L14" s="129">
        <v>1959216</v>
      </c>
      <c r="M14" s="129">
        <v>2756921.47</v>
      </c>
      <c r="N14" s="129">
        <v>2400000</v>
      </c>
      <c r="O14" s="129">
        <v>2314423.4800000004</v>
      </c>
      <c r="P14" s="367">
        <v>2400000</v>
      </c>
      <c r="Q14" s="131">
        <v>2116426</v>
      </c>
      <c r="R14" s="247" t="e">
        <v>#REF!</v>
      </c>
      <c r="S14" s="247" t="e">
        <v>#REF!</v>
      </c>
      <c r="T14" s="247" t="e">
        <v>#REF!</v>
      </c>
      <c r="U14" s="247" t="e">
        <v>#REF!</v>
      </c>
      <c r="V14" s="247" t="e">
        <v>#REF!</v>
      </c>
      <c r="W14" s="247" t="e">
        <v>#REF!</v>
      </c>
      <c r="X14" s="367" t="e">
        <v>#REF!</v>
      </c>
      <c r="Y14" s="247" t="e">
        <v>#REF!</v>
      </c>
      <c r="Z14" s="367">
        <v>2400000</v>
      </c>
      <c r="AA14" s="367">
        <v>2400000</v>
      </c>
      <c r="AB14" s="844">
        <v>2494148.5396647379</v>
      </c>
      <c r="AC14" s="1449">
        <v>2634675.1060952377</v>
      </c>
      <c r="AD14" s="1558">
        <v>2514079.8605000004</v>
      </c>
      <c r="AE14" s="725">
        <v>2417251.3150403658</v>
      </c>
      <c r="AF14" s="725">
        <v>2391400.9957365799</v>
      </c>
      <c r="AG14" s="2008">
        <v>-120595.24559523724</v>
      </c>
    </row>
    <row r="15" spans="1:46" ht="15" customHeight="1">
      <c r="A15" s="144">
        <v>7</v>
      </c>
      <c r="B15" s="1236" t="s">
        <v>1931</v>
      </c>
      <c r="C15" s="145">
        <v>947000</v>
      </c>
      <c r="D15" s="145"/>
      <c r="E15" s="145">
        <v>1052000</v>
      </c>
      <c r="F15" s="145"/>
      <c r="G15" s="145">
        <v>1052000</v>
      </c>
      <c r="H15" s="145"/>
      <c r="L15" s="129">
        <v>1052438</v>
      </c>
      <c r="M15" s="129">
        <v>1229672</v>
      </c>
      <c r="N15" s="129">
        <v>938500</v>
      </c>
      <c r="O15" s="129">
        <v>936479</v>
      </c>
      <c r="P15" s="367">
        <v>938400</v>
      </c>
      <c r="Q15" s="131">
        <v>938479</v>
      </c>
      <c r="R15" s="247" t="e">
        <v>#REF!</v>
      </c>
      <c r="S15" s="247" t="e">
        <v>#REF!</v>
      </c>
      <c r="T15" s="247" t="e">
        <v>#REF!</v>
      </c>
      <c r="U15" s="247" t="e">
        <v>#REF!</v>
      </c>
      <c r="V15" s="247">
        <v>385618</v>
      </c>
      <c r="W15" s="247" t="e">
        <v>#REF!</v>
      </c>
      <c r="X15" s="367" t="e">
        <v>#REF!</v>
      </c>
      <c r="Y15" s="247" t="e">
        <v>#REF!</v>
      </c>
      <c r="Z15" s="367">
        <v>385618</v>
      </c>
      <c r="AA15" s="367">
        <v>371881</v>
      </c>
      <c r="AB15" s="844">
        <v>1332672</v>
      </c>
      <c r="AC15" s="1449">
        <v>1359858</v>
      </c>
      <c r="AD15" s="1807">
        <v>1358791</v>
      </c>
      <c r="AE15" s="725">
        <v>1358791</v>
      </c>
      <c r="AF15" s="725">
        <v>1358791</v>
      </c>
      <c r="AG15" s="125">
        <v>-1067</v>
      </c>
      <c r="AH15" s="1236" t="s">
        <v>1637</v>
      </c>
      <c r="AK15" s="1236" t="s">
        <v>1929</v>
      </c>
      <c r="AN15" s="1524">
        <v>1039334</v>
      </c>
      <c r="AO15" s="1236" t="s">
        <v>1930</v>
      </c>
      <c r="AP15" s="1524">
        <v>319457</v>
      </c>
      <c r="AQ15" s="1236" t="s">
        <v>1638</v>
      </c>
      <c r="AR15" s="1236" t="s">
        <v>1639</v>
      </c>
    </row>
    <row r="16" spans="1:46" ht="15" customHeight="1">
      <c r="A16" s="144">
        <v>8</v>
      </c>
      <c r="B16" s="128" t="s">
        <v>556</v>
      </c>
      <c r="C16" s="145"/>
      <c r="D16" s="145"/>
      <c r="E16" s="145"/>
      <c r="F16" s="145"/>
      <c r="G16" s="145"/>
      <c r="H16" s="145"/>
      <c r="L16" s="129"/>
      <c r="M16" s="129">
        <v>291193</v>
      </c>
      <c r="N16" s="129">
        <v>300000</v>
      </c>
      <c r="O16" s="129">
        <v>281930</v>
      </c>
      <c r="P16" s="367">
        <v>269600</v>
      </c>
      <c r="Q16" s="131">
        <v>389000</v>
      </c>
      <c r="R16" s="247" t="e">
        <v>#REF!</v>
      </c>
      <c r="S16" s="247" t="e">
        <v>#REF!</v>
      </c>
      <c r="T16" s="247" t="e">
        <v>#REF!</v>
      </c>
      <c r="U16" s="247" t="e">
        <v>#REF!</v>
      </c>
      <c r="V16" s="247">
        <v>243118</v>
      </c>
      <c r="W16" s="247" t="e">
        <v>#REF!</v>
      </c>
      <c r="X16" s="367" t="e">
        <v>#REF!</v>
      </c>
      <c r="Y16" s="247" t="e">
        <v>#REF!</v>
      </c>
      <c r="Z16" s="367">
        <v>245772</v>
      </c>
      <c r="AA16" s="367">
        <v>237016.78119797312</v>
      </c>
      <c r="AB16" s="844">
        <v>237016.78119797312</v>
      </c>
      <c r="AC16" s="1449">
        <v>0</v>
      </c>
      <c r="AD16" s="1558">
        <v>188346</v>
      </c>
      <c r="AE16" s="725">
        <v>188346</v>
      </c>
      <c r="AF16" s="725">
        <v>188346</v>
      </c>
      <c r="AG16" s="125">
        <v>188346</v>
      </c>
      <c r="AH16" s="1236" t="s">
        <v>1641</v>
      </c>
      <c r="AN16" s="1524">
        <v>182058</v>
      </c>
      <c r="AO16" s="1236" t="s">
        <v>1762</v>
      </c>
      <c r="AP16" s="1524">
        <v>6288</v>
      </c>
      <c r="AR16" s="1236" t="s">
        <v>1763</v>
      </c>
    </row>
    <row r="17" spans="1:37" ht="15" customHeight="1">
      <c r="A17" s="144">
        <v>9</v>
      </c>
      <c r="B17" s="128" t="s">
        <v>557</v>
      </c>
      <c r="C17" s="145">
        <v>556000</v>
      </c>
      <c r="D17" s="145"/>
      <c r="E17" s="145">
        <v>556000</v>
      </c>
      <c r="F17" s="145"/>
      <c r="G17" s="145">
        <v>556000</v>
      </c>
      <c r="H17" s="145"/>
      <c r="I17" s="131"/>
      <c r="L17" s="129">
        <v>669293.27</v>
      </c>
      <c r="M17" s="129">
        <v>340007.17</v>
      </c>
      <c r="N17" s="129">
        <v>356000</v>
      </c>
      <c r="O17" s="129">
        <v>356681.19</v>
      </c>
      <c r="P17" s="367">
        <v>368000</v>
      </c>
      <c r="Q17" s="131">
        <v>371148</v>
      </c>
      <c r="R17" s="247" t="e">
        <v>#REF!</v>
      </c>
      <c r="S17" s="247" t="e">
        <v>#REF!</v>
      </c>
      <c r="T17" s="247" t="e">
        <v>#REF!</v>
      </c>
      <c r="U17" s="247" t="e">
        <v>#REF!</v>
      </c>
      <c r="V17" s="247">
        <v>99800</v>
      </c>
      <c r="W17" s="247" t="e">
        <v>#REF!</v>
      </c>
      <c r="X17" s="367" t="e">
        <v>#REF!</v>
      </c>
      <c r="Y17" s="247" t="e">
        <v>#REF!</v>
      </c>
      <c r="Z17" s="367">
        <v>62148</v>
      </c>
      <c r="AA17" s="367">
        <v>273000</v>
      </c>
      <c r="AB17" s="844">
        <v>231196</v>
      </c>
      <c r="AC17" s="1449">
        <v>238730</v>
      </c>
      <c r="AD17" s="1558">
        <v>399801</v>
      </c>
      <c r="AE17" s="725">
        <v>399801</v>
      </c>
      <c r="AF17" s="725">
        <v>399801</v>
      </c>
      <c r="AG17" s="125">
        <v>161071</v>
      </c>
      <c r="AH17" s="1236" t="s">
        <v>1640</v>
      </c>
    </row>
    <row r="18" spans="1:37" ht="15" customHeight="1">
      <c r="A18" s="144">
        <v>10</v>
      </c>
      <c r="B18" s="1236" t="s">
        <v>1570</v>
      </c>
      <c r="C18" s="145">
        <v>2300000</v>
      </c>
      <c r="D18" s="145"/>
      <c r="E18" s="145">
        <v>2100000</v>
      </c>
      <c r="F18" s="145"/>
      <c r="G18" s="145">
        <v>2100000</v>
      </c>
      <c r="H18" s="145"/>
      <c r="I18" s="131"/>
      <c r="L18" s="129">
        <v>1855002.19</v>
      </c>
      <c r="M18" s="129">
        <v>1749479.5</v>
      </c>
      <c r="N18" s="129">
        <v>1650000</v>
      </c>
      <c r="O18" s="129">
        <v>1489584</v>
      </c>
      <c r="P18" s="367">
        <v>1372000</v>
      </c>
      <c r="Q18" s="131">
        <v>1501241</v>
      </c>
      <c r="R18" s="247" t="e">
        <v>#REF!</v>
      </c>
      <c r="S18" s="247" t="e">
        <v>#REF!</v>
      </c>
      <c r="T18" s="247" t="e">
        <v>#REF!</v>
      </c>
      <c r="U18" s="247">
        <v>1551466</v>
      </c>
      <c r="V18" s="247">
        <v>1668341</v>
      </c>
      <c r="W18" s="247" t="e">
        <v>#REF!</v>
      </c>
      <c r="X18" s="367" t="e">
        <v>#REF!</v>
      </c>
      <c r="Y18" s="247" t="e">
        <v>#REF!</v>
      </c>
      <c r="Z18" s="367">
        <v>3170438.0007152995</v>
      </c>
      <c r="AA18" s="367">
        <v>5297676.6493857447</v>
      </c>
      <c r="AB18" s="844">
        <v>7549502.3471337762</v>
      </c>
      <c r="AC18" s="1449">
        <v>8081460</v>
      </c>
      <c r="AD18" s="1558">
        <v>7331345</v>
      </c>
      <c r="AE18" s="725">
        <v>7186403.6364956647</v>
      </c>
      <c r="AF18" s="725">
        <v>7141436.2536230134</v>
      </c>
      <c r="AG18" s="2008">
        <v>-750115</v>
      </c>
    </row>
    <row r="19" spans="1:37" ht="15" customHeight="1">
      <c r="A19" s="144"/>
      <c r="B19" s="1236" t="s">
        <v>1569</v>
      </c>
      <c r="C19" s="145"/>
      <c r="D19" s="145"/>
      <c r="E19" s="145"/>
      <c r="F19" s="145"/>
      <c r="G19" s="145"/>
      <c r="H19" s="145"/>
      <c r="I19" s="131"/>
      <c r="L19" s="129"/>
      <c r="M19" s="129"/>
      <c r="N19" s="129"/>
      <c r="O19" s="129"/>
      <c r="P19" s="367"/>
      <c r="Q19" s="131"/>
      <c r="R19" s="247"/>
      <c r="S19" s="247"/>
      <c r="T19" s="247"/>
      <c r="U19" s="247"/>
      <c r="V19" s="247"/>
      <c r="W19" s="247"/>
      <c r="X19" s="367"/>
      <c r="Y19" s="247"/>
      <c r="Z19" s="367"/>
      <c r="AA19" s="367"/>
      <c r="AB19" s="844"/>
      <c r="AC19" s="1449">
        <v>1248125.5534883721</v>
      </c>
      <c r="AD19" s="1558">
        <v>1207729.9517543861</v>
      </c>
      <c r="AE19" s="2009">
        <v>1260700.5636734383</v>
      </c>
      <c r="AF19" s="2009">
        <v>1287185.8696329645</v>
      </c>
      <c r="AG19" s="125">
        <v>-40395.601733986055</v>
      </c>
      <c r="AH19" s="1236" t="s">
        <v>1933</v>
      </c>
    </row>
    <row r="20" spans="1:37" ht="15" customHeight="1">
      <c r="A20" s="144">
        <v>11</v>
      </c>
      <c r="B20" s="128" t="s">
        <v>559</v>
      </c>
      <c r="C20" s="145">
        <v>900000</v>
      </c>
      <c r="D20" s="145"/>
      <c r="E20" s="145">
        <v>1100000</v>
      </c>
      <c r="F20" s="145"/>
      <c r="G20" s="145">
        <v>1100000</v>
      </c>
      <c r="H20" s="145"/>
      <c r="I20" s="131" t="s">
        <v>540</v>
      </c>
      <c r="L20" s="129">
        <v>757002.88</v>
      </c>
      <c r="M20" s="129">
        <v>780697.18</v>
      </c>
      <c r="N20" s="129">
        <v>700000</v>
      </c>
      <c r="O20" s="129">
        <v>779883.97</v>
      </c>
      <c r="P20" s="367">
        <v>950000</v>
      </c>
      <c r="Q20" s="131">
        <v>654500</v>
      </c>
      <c r="R20" s="247" t="e">
        <v>#REF!</v>
      </c>
      <c r="S20" s="247" t="e">
        <v>#REF!</v>
      </c>
      <c r="T20" s="247" t="e">
        <v>#REF!</v>
      </c>
      <c r="U20" s="247" t="e">
        <v>#REF!</v>
      </c>
      <c r="V20" s="247">
        <v>1000000</v>
      </c>
      <c r="W20" s="247" t="e">
        <v>#REF!</v>
      </c>
      <c r="X20" s="367" t="e">
        <v>#REF!</v>
      </c>
      <c r="Y20" s="247" t="e">
        <v>#REF!</v>
      </c>
      <c r="Z20" s="367">
        <v>1000000</v>
      </c>
      <c r="AA20" s="367">
        <v>1100000</v>
      </c>
      <c r="AB20" s="844">
        <v>1000000</v>
      </c>
      <c r="AC20" s="1449">
        <v>800000</v>
      </c>
      <c r="AD20" s="1558">
        <v>1500000</v>
      </c>
      <c r="AE20" s="725">
        <v>1500000</v>
      </c>
      <c r="AF20" s="725">
        <v>1500000</v>
      </c>
      <c r="AG20" s="125">
        <v>700000</v>
      </c>
      <c r="AH20" s="1236" t="s">
        <v>1642</v>
      </c>
    </row>
    <row r="21" spans="1:37" ht="15" customHeight="1">
      <c r="A21" s="144">
        <v>12</v>
      </c>
      <c r="B21" s="128" t="s">
        <v>560</v>
      </c>
      <c r="C21" s="145">
        <v>750000</v>
      </c>
      <c r="D21" s="145"/>
      <c r="E21" s="145">
        <v>750000</v>
      </c>
      <c r="F21" s="145"/>
      <c r="G21" s="145">
        <v>750000</v>
      </c>
      <c r="H21" s="145"/>
      <c r="I21" s="131" t="s">
        <v>540</v>
      </c>
      <c r="L21" s="129">
        <v>0</v>
      </c>
      <c r="M21" s="129">
        <v>0</v>
      </c>
      <c r="N21" s="129">
        <v>0</v>
      </c>
      <c r="O21" s="132">
        <v>0</v>
      </c>
      <c r="P21" s="367">
        <v>0</v>
      </c>
      <c r="Q21" s="131"/>
      <c r="R21" s="247" t="e">
        <v>#REF!</v>
      </c>
      <c r="S21" s="247" t="e">
        <v>#REF!</v>
      </c>
      <c r="T21" s="369"/>
      <c r="U21" s="247"/>
      <c r="V21" s="247"/>
      <c r="W21" s="247" t="e">
        <v>#REF!</v>
      </c>
      <c r="X21" s="367" t="e">
        <v>#REF!</v>
      </c>
      <c r="Y21" s="247" t="e">
        <v>#REF!</v>
      </c>
      <c r="Z21" s="367">
        <v>547000</v>
      </c>
      <c r="AA21" s="367">
        <v>10451527</v>
      </c>
      <c r="AB21" s="844">
        <v>2159482</v>
      </c>
      <c r="AC21" s="1449">
        <v>455509.36214001867</v>
      </c>
      <c r="AD21" s="1558">
        <v>436291.236255</v>
      </c>
      <c r="AE21" s="725">
        <v>418839.58680479997</v>
      </c>
      <c r="AF21" s="725">
        <v>414651.19093675195</v>
      </c>
      <c r="AG21" s="125">
        <v>-19218.125885018671</v>
      </c>
    </row>
    <row r="22" spans="1:37" ht="15" customHeight="1">
      <c r="A22" s="144"/>
      <c r="B22" s="1236" t="s">
        <v>1575</v>
      </c>
      <c r="C22" s="145"/>
      <c r="D22" s="145"/>
      <c r="E22" s="145"/>
      <c r="F22" s="145"/>
      <c r="G22" s="145"/>
      <c r="H22" s="145"/>
      <c r="I22" s="131"/>
      <c r="L22" s="129"/>
      <c r="M22" s="129"/>
      <c r="N22" s="129"/>
      <c r="O22" s="132"/>
      <c r="P22" s="367"/>
      <c r="Q22" s="131"/>
      <c r="R22" s="247"/>
      <c r="S22" s="247"/>
      <c r="T22" s="369"/>
      <c r="U22" s="247"/>
      <c r="V22" s="247"/>
      <c r="W22" s="247"/>
      <c r="X22" s="367"/>
      <c r="Y22" s="247"/>
      <c r="Z22" s="367"/>
      <c r="AA22" s="367"/>
      <c r="AB22" s="844"/>
      <c r="AC22" s="1449">
        <v>2659653</v>
      </c>
      <c r="AD22" s="1916">
        <v>3216320</v>
      </c>
      <c r="AE22" s="1611">
        <v>3216320</v>
      </c>
      <c r="AF22" s="1611">
        <v>3216320</v>
      </c>
      <c r="AG22" s="125">
        <v>556667</v>
      </c>
      <c r="AH22" s="1236" t="s">
        <v>1643</v>
      </c>
      <c r="AI22" s="1236" t="s">
        <v>1644</v>
      </c>
    </row>
    <row r="23" spans="1:37" ht="15" customHeight="1">
      <c r="A23" s="144">
        <v>13</v>
      </c>
      <c r="B23" s="128" t="s">
        <v>561</v>
      </c>
      <c r="C23" s="145">
        <v>850000</v>
      </c>
      <c r="D23" s="145"/>
      <c r="E23" s="145">
        <v>850000</v>
      </c>
      <c r="F23" s="145"/>
      <c r="G23" s="145">
        <v>850000</v>
      </c>
      <c r="H23" s="145"/>
      <c r="I23" s="131"/>
      <c r="J23" s="128" t="s">
        <v>540</v>
      </c>
      <c r="L23" s="133">
        <v>1187298.83</v>
      </c>
      <c r="M23" s="133">
        <v>495358.67999999225</v>
      </c>
      <c r="N23" s="133">
        <v>526100</v>
      </c>
      <c r="O23" s="133" t="e">
        <v>#REF!</v>
      </c>
      <c r="P23" s="370">
        <v>634118</v>
      </c>
      <c r="Q23" s="133">
        <v>653813</v>
      </c>
      <c r="R23" s="371" t="e">
        <v>#REF!</v>
      </c>
      <c r="S23" s="371" t="e">
        <v>#REF!</v>
      </c>
      <c r="T23" s="371" t="e">
        <v>#REF!</v>
      </c>
      <c r="U23" s="371" t="e">
        <v>#REF!</v>
      </c>
      <c r="V23" s="371" t="e">
        <v>#REF!</v>
      </c>
      <c r="W23" s="371" t="e">
        <v>#REF!</v>
      </c>
      <c r="X23" s="371" t="e">
        <v>#REF!</v>
      </c>
      <c r="Y23" s="371" t="e">
        <v>#REF!</v>
      </c>
      <c r="Z23" s="371">
        <v>3015470</v>
      </c>
      <c r="AA23" s="370">
        <v>3172825</v>
      </c>
      <c r="AB23" s="1444">
        <v>2228670</v>
      </c>
      <c r="AC23" s="1450">
        <v>1539930</v>
      </c>
      <c r="AD23" s="1997">
        <v>1239480</v>
      </c>
      <c r="AE23" s="2010">
        <v>1239480</v>
      </c>
      <c r="AF23" s="2010">
        <v>1239480</v>
      </c>
      <c r="AG23" s="125">
        <v>-300450</v>
      </c>
      <c r="AH23" s="1236" t="s">
        <v>1645</v>
      </c>
    </row>
    <row r="24" spans="1:37" ht="15" customHeight="1">
      <c r="A24" s="144"/>
      <c r="C24" s="145"/>
      <c r="D24" s="145"/>
      <c r="E24" s="145"/>
      <c r="F24" s="145"/>
      <c r="G24" s="145"/>
      <c r="H24" s="145"/>
      <c r="I24" s="131"/>
      <c r="L24" s="134"/>
      <c r="M24" s="136"/>
      <c r="N24" s="136"/>
      <c r="O24" s="136"/>
      <c r="P24" s="362"/>
      <c r="R24" s="363"/>
      <c r="S24" s="363"/>
      <c r="T24" s="372"/>
      <c r="U24" s="272"/>
      <c r="V24" s="272"/>
      <c r="W24" s="272"/>
      <c r="X24" s="510"/>
      <c r="Y24" s="272"/>
      <c r="Z24" s="510"/>
      <c r="AA24" s="510"/>
      <c r="AB24" s="60"/>
      <c r="AC24" s="1447"/>
      <c r="AD24" s="1991"/>
      <c r="AE24" s="726"/>
      <c r="AF24" s="726"/>
      <c r="AG24" s="25"/>
    </row>
    <row r="25" spans="1:37" ht="15" customHeight="1" thickBot="1">
      <c r="A25" s="144">
        <v>14</v>
      </c>
      <c r="B25" s="128" t="s">
        <v>562</v>
      </c>
      <c r="C25" s="145">
        <v>83588000</v>
      </c>
      <c r="D25" s="145"/>
      <c r="E25" s="145">
        <v>86165445</v>
      </c>
      <c r="F25" s="145">
        <v>0</v>
      </c>
      <c r="G25" s="145">
        <v>86196553</v>
      </c>
      <c r="H25" s="145"/>
      <c r="I25" s="137"/>
      <c r="J25" s="131"/>
      <c r="K25" s="131"/>
      <c r="L25" s="138">
        <v>89162256.069999978</v>
      </c>
      <c r="M25" s="138">
        <v>88595220</v>
      </c>
      <c r="N25" s="138">
        <v>89732300</v>
      </c>
      <c r="O25" s="138" t="e">
        <v>#REF!</v>
      </c>
      <c r="P25" s="206" t="e">
        <v>#REF!</v>
      </c>
      <c r="Q25" s="138">
        <v>106230204</v>
      </c>
      <c r="R25" s="171" t="e">
        <v>#REF!</v>
      </c>
      <c r="S25" s="171" t="e">
        <v>#REF!</v>
      </c>
      <c r="T25" s="291" t="e">
        <v>#REF!</v>
      </c>
      <c r="U25" s="171" t="e">
        <v>#REF!</v>
      </c>
      <c r="V25" s="171" t="e">
        <v>#REF!</v>
      </c>
      <c r="W25" s="171" t="e">
        <v>#REF!</v>
      </c>
      <c r="X25" s="206" t="e">
        <v>#REF!</v>
      </c>
      <c r="Y25" s="171" t="e">
        <v>#REF!</v>
      </c>
      <c r="Z25" s="206">
        <v>134673370.30278429</v>
      </c>
      <c r="AA25" s="206">
        <v>156803421.9638887</v>
      </c>
      <c r="AB25" s="843">
        <v>162008303.12469152</v>
      </c>
      <c r="AC25" s="1451">
        <v>175703998.72938445</v>
      </c>
      <c r="AD25" s="1992">
        <v>185599224.79702345</v>
      </c>
      <c r="AE25" s="724">
        <v>197241012.08869994</v>
      </c>
      <c r="AF25" s="724">
        <v>209943792.52212176</v>
      </c>
      <c r="AG25" s="1723">
        <v>9895226.067638984</v>
      </c>
      <c r="AH25" s="1687">
        <v>9895226.0676389933</v>
      </c>
    </row>
    <row r="26" spans="1:37" ht="15" customHeight="1" thickTop="1">
      <c r="A26" s="144"/>
      <c r="C26" s="145"/>
      <c r="D26" s="145"/>
      <c r="E26" s="145"/>
      <c r="F26" s="145"/>
      <c r="G26" s="145"/>
      <c r="H26" s="145"/>
      <c r="J26" s="131"/>
      <c r="K26" s="129"/>
      <c r="L26" s="25"/>
      <c r="M26" s="373"/>
      <c r="N26" s="134"/>
      <c r="O26" s="134"/>
      <c r="P26" s="362"/>
      <c r="R26" s="363"/>
      <c r="S26" s="363"/>
      <c r="T26" s="372"/>
      <c r="U26" s="272"/>
      <c r="V26" s="172"/>
      <c r="W26" s="272"/>
      <c r="X26" s="510"/>
      <c r="Y26" s="272"/>
      <c r="Z26" s="510"/>
      <c r="AA26" s="510"/>
      <c r="AB26" s="60"/>
      <c r="AC26" s="1447"/>
      <c r="AD26" s="1991"/>
      <c r="AE26" s="726"/>
      <c r="AF26" s="726"/>
      <c r="AG26" s="25"/>
    </row>
    <row r="27" spans="1:37" ht="15" customHeight="1">
      <c r="A27" s="144"/>
      <c r="B27" s="374" t="s">
        <v>563</v>
      </c>
      <c r="C27" s="145" t="s">
        <v>540</v>
      </c>
      <c r="D27" s="145"/>
      <c r="E27" s="145"/>
      <c r="F27" s="145"/>
      <c r="G27" s="145"/>
      <c r="H27" s="145"/>
      <c r="J27" s="131"/>
      <c r="K27" s="129"/>
      <c r="L27" s="25"/>
      <c r="M27" s="375"/>
      <c r="N27" s="136"/>
      <c r="O27" s="143"/>
      <c r="P27" s="362"/>
      <c r="R27" s="363"/>
      <c r="S27" s="376"/>
      <c r="T27" s="372"/>
      <c r="U27" s="272"/>
      <c r="V27" s="393"/>
      <c r="W27" s="272"/>
      <c r="X27" s="510"/>
      <c r="Y27" s="272"/>
      <c r="Z27" s="510"/>
      <c r="AA27" s="510"/>
      <c r="AB27" s="60"/>
      <c r="AC27" s="1447"/>
      <c r="AD27" s="1991"/>
      <c r="AE27" s="726"/>
      <c r="AF27" s="726"/>
      <c r="AG27" s="25"/>
    </row>
    <row r="28" spans="1:37" ht="15" customHeight="1">
      <c r="A28" s="144" t="s">
        <v>564</v>
      </c>
      <c r="B28" s="128" t="s">
        <v>321</v>
      </c>
      <c r="C28" s="145"/>
      <c r="D28" s="145"/>
      <c r="E28" s="145"/>
      <c r="F28" s="145"/>
      <c r="G28" s="145"/>
      <c r="H28" s="145"/>
      <c r="J28" s="146"/>
      <c r="K28" s="131"/>
      <c r="L28" s="129">
        <v>10952109.890000001</v>
      </c>
      <c r="M28" s="129">
        <v>9788898.9399999995</v>
      </c>
      <c r="N28" s="129">
        <v>10168806</v>
      </c>
      <c r="O28" s="129">
        <v>10738269.550000001</v>
      </c>
      <c r="P28" s="367">
        <v>10578917</v>
      </c>
      <c r="Q28" s="365">
        <v>10848787</v>
      </c>
      <c r="R28" s="172" t="e">
        <v>#REF!</v>
      </c>
      <c r="S28" s="172" t="e">
        <v>#REF!</v>
      </c>
      <c r="T28" s="172" t="e">
        <v>#REF!</v>
      </c>
      <c r="U28" s="247" t="e">
        <v>#REF!</v>
      </c>
      <c r="V28" s="172" t="e">
        <v>#REF!</v>
      </c>
      <c r="W28" s="172" t="e">
        <v>#REF!</v>
      </c>
      <c r="X28" s="207" t="e">
        <v>#REF!</v>
      </c>
      <c r="Y28" s="172" t="e">
        <v>#REF!</v>
      </c>
      <c r="Z28" s="207">
        <v>18267170.973084126</v>
      </c>
      <c r="AA28" s="367">
        <v>21221641.729023855</v>
      </c>
      <c r="AB28" s="847">
        <v>20911698.341215927</v>
      </c>
      <c r="AC28" s="1448">
        <v>24939769.539530579</v>
      </c>
      <c r="AD28" s="1721">
        <v>24939769.539530579</v>
      </c>
      <c r="AE28" s="729">
        <v>24939769.539530579</v>
      </c>
      <c r="AF28" s="729">
        <v>24939769.539530579</v>
      </c>
      <c r="AG28" s="125">
        <v>0</v>
      </c>
      <c r="AH28" s="1236" t="s">
        <v>1646</v>
      </c>
      <c r="AK28" s="1236"/>
    </row>
    <row r="29" spans="1:37" ht="15" customHeight="1">
      <c r="A29" s="246" t="s">
        <v>565</v>
      </c>
      <c r="B29" s="128" t="s">
        <v>569</v>
      </c>
      <c r="C29" s="145"/>
      <c r="D29" s="145"/>
      <c r="E29" s="145"/>
      <c r="F29" s="145"/>
      <c r="G29" s="145"/>
      <c r="H29" s="145"/>
      <c r="J29" s="146"/>
      <c r="K29" s="131"/>
      <c r="L29" s="129">
        <v>25293508.829999998</v>
      </c>
      <c r="M29" s="129">
        <v>23586519.620000001</v>
      </c>
      <c r="N29" s="129">
        <v>23479252</v>
      </c>
      <c r="O29" s="129">
        <v>24259262.280000001</v>
      </c>
      <c r="P29" s="367">
        <v>24427674</v>
      </c>
      <c r="Q29" s="131">
        <v>25244916</v>
      </c>
      <c r="R29" s="247" t="e">
        <v>#REF!</v>
      </c>
      <c r="S29" s="247" t="e">
        <v>#REF!</v>
      </c>
      <c r="T29" s="247" t="e">
        <v>#REF!</v>
      </c>
      <c r="U29" s="247" t="e">
        <v>#REF!</v>
      </c>
      <c r="V29" s="247" t="e">
        <v>#REF!</v>
      </c>
      <c r="W29" s="247" t="e">
        <v>#REF!</v>
      </c>
      <c r="X29" s="367" t="e">
        <v>#REF!</v>
      </c>
      <c r="Y29" s="247" t="e">
        <v>#REF!</v>
      </c>
      <c r="Z29" s="367">
        <v>30997992.107627269</v>
      </c>
      <c r="AA29" s="367">
        <v>33715020.267731078</v>
      </c>
      <c r="AB29" s="844">
        <v>33188995.921066683</v>
      </c>
      <c r="AC29" s="1449">
        <v>41158138.236597747</v>
      </c>
      <c r="AD29" s="1718">
        <v>41158138.236597747</v>
      </c>
      <c r="AE29" s="725">
        <v>41158138.236597747</v>
      </c>
      <c r="AF29" s="725">
        <v>41158138.236597747</v>
      </c>
      <c r="AG29" s="125">
        <v>0</v>
      </c>
      <c r="AH29" s="1236" t="s">
        <v>1646</v>
      </c>
      <c r="AK29" s="1236"/>
    </row>
    <row r="30" spans="1:37" ht="15" customHeight="1">
      <c r="A30" s="144" t="s">
        <v>566</v>
      </c>
      <c r="B30" s="128" t="s">
        <v>567</v>
      </c>
      <c r="C30" s="145"/>
      <c r="D30" s="145"/>
      <c r="E30" s="145"/>
      <c r="F30" s="145"/>
      <c r="G30" s="145"/>
      <c r="H30" s="145"/>
      <c r="J30" s="146"/>
      <c r="K30" s="131"/>
      <c r="L30" s="129">
        <v>18235586.149999999</v>
      </c>
      <c r="M30" s="129">
        <v>16696130.74</v>
      </c>
      <c r="N30" s="129">
        <v>16606064</v>
      </c>
      <c r="O30" s="129">
        <v>17511061.68</v>
      </c>
      <c r="P30" s="367">
        <v>17345244</v>
      </c>
      <c r="Q30" s="131">
        <v>18646901</v>
      </c>
      <c r="R30" s="247" t="e">
        <v>#REF!</v>
      </c>
      <c r="S30" s="247" t="e">
        <v>#REF!</v>
      </c>
      <c r="T30" s="247" t="e">
        <v>#REF!</v>
      </c>
      <c r="U30" s="247" t="e">
        <v>#REF!</v>
      </c>
      <c r="V30" s="247" t="e">
        <v>#REF!</v>
      </c>
      <c r="W30" s="247" t="e">
        <v>#REF!</v>
      </c>
      <c r="X30" s="367" t="e">
        <v>#REF!</v>
      </c>
      <c r="Y30" s="247" t="e">
        <v>#REF!</v>
      </c>
      <c r="Z30" s="367">
        <v>34163760.237570465</v>
      </c>
      <c r="AA30" s="367">
        <v>36601894.289995208</v>
      </c>
      <c r="AB30" s="844">
        <v>36021918.672878638</v>
      </c>
      <c r="AC30" s="1449">
        <v>41772341.297654092</v>
      </c>
      <c r="AD30" s="1718">
        <v>41772341.297654092</v>
      </c>
      <c r="AE30" s="725">
        <v>41772341.297654092</v>
      </c>
      <c r="AF30" s="725">
        <v>41772341.297654092</v>
      </c>
      <c r="AG30" s="125">
        <v>0</v>
      </c>
      <c r="AH30" s="1236" t="s">
        <v>1646</v>
      </c>
      <c r="AK30" s="1236"/>
    </row>
    <row r="31" spans="1:37" ht="15" customHeight="1">
      <c r="A31" s="246" t="s">
        <v>568</v>
      </c>
      <c r="B31" s="128" t="s">
        <v>326</v>
      </c>
      <c r="C31" s="145">
        <v>58836432</v>
      </c>
      <c r="D31" s="145"/>
      <c r="E31" s="145">
        <v>60355713</v>
      </c>
      <c r="F31" s="145" t="e">
        <v>#REF!</v>
      </c>
      <c r="G31" s="145">
        <v>60355713</v>
      </c>
      <c r="H31" s="145"/>
      <c r="J31" s="146" t="s">
        <v>540</v>
      </c>
      <c r="K31" s="131"/>
      <c r="L31" s="129">
        <v>9044464.7200000007</v>
      </c>
      <c r="M31" s="129">
        <v>9733280.8000000007</v>
      </c>
      <c r="N31" s="129">
        <v>9852842</v>
      </c>
      <c r="O31" s="129">
        <v>10023308.380000001</v>
      </c>
      <c r="P31" s="367">
        <v>10247506</v>
      </c>
      <c r="Q31" s="131">
        <v>10500726</v>
      </c>
      <c r="R31" s="172" t="e">
        <v>#REF!</v>
      </c>
      <c r="S31" s="247" t="e">
        <v>#REF!</v>
      </c>
      <c r="T31" s="247" t="e">
        <v>#REF!</v>
      </c>
      <c r="U31" s="247" t="e">
        <v>#REF!</v>
      </c>
      <c r="V31" s="247" t="e">
        <v>#REF!</v>
      </c>
      <c r="W31" s="247" t="e">
        <v>#REF!</v>
      </c>
      <c r="X31" s="367" t="e">
        <v>#REF!</v>
      </c>
      <c r="Y31" s="247" t="e">
        <v>#REF!</v>
      </c>
      <c r="Z31" s="367">
        <v>12572336.892191792</v>
      </c>
      <c r="AA31" s="367">
        <v>13447340.156710597</v>
      </c>
      <c r="AB31" s="844">
        <v>13233923.874964518</v>
      </c>
      <c r="AC31" s="1449">
        <v>16981938.891987078</v>
      </c>
      <c r="AD31" s="1718">
        <v>16981938.891987078</v>
      </c>
      <c r="AE31" s="725">
        <v>16981938.891987078</v>
      </c>
      <c r="AF31" s="725">
        <v>16981938.891987078</v>
      </c>
      <c r="AG31" s="125">
        <v>0</v>
      </c>
      <c r="AH31" s="1236" t="s">
        <v>1646</v>
      </c>
      <c r="AK31" s="1236"/>
    </row>
    <row r="32" spans="1:37" ht="15" customHeight="1">
      <c r="A32" s="246" t="s">
        <v>323</v>
      </c>
      <c r="B32" s="128" t="s">
        <v>322</v>
      </c>
      <c r="C32" s="247" t="e">
        <v>#REF!</v>
      </c>
      <c r="D32" s="247" t="e">
        <v>#REF!</v>
      </c>
      <c r="E32" s="129"/>
      <c r="F32" s="247" t="e">
        <v>#REF!</v>
      </c>
      <c r="G32" s="247" t="e">
        <v>#REF!</v>
      </c>
      <c r="H32" s="247"/>
      <c r="N32" s="128"/>
      <c r="O32" s="128"/>
      <c r="P32" s="128"/>
      <c r="Q32" s="128"/>
      <c r="R32" s="247"/>
      <c r="S32" s="247" t="e">
        <v>#REF!</v>
      </c>
      <c r="T32" s="247" t="e">
        <v>#REF!</v>
      </c>
      <c r="U32" s="247" t="e">
        <v>#REF!</v>
      </c>
      <c r="V32" s="247" t="e">
        <v>#REF!</v>
      </c>
      <c r="W32" s="247" t="e">
        <v>#REF!</v>
      </c>
      <c r="X32" s="367" t="e">
        <v>#REF!</v>
      </c>
      <c r="Y32" s="247" t="e">
        <v>#REF!</v>
      </c>
      <c r="Z32" s="367">
        <v>11013602.110316297</v>
      </c>
      <c r="AA32" s="367">
        <v>11622520.981170302</v>
      </c>
      <c r="AB32" s="844">
        <v>11435674.167538526</v>
      </c>
      <c r="AC32" s="1449">
        <v>12973897.942404546</v>
      </c>
      <c r="AD32" s="1718">
        <v>12973897.942404546</v>
      </c>
      <c r="AE32" s="725">
        <v>12973897.942404546</v>
      </c>
      <c r="AF32" s="725">
        <v>12973897.942404546</v>
      </c>
      <c r="AG32" s="125">
        <v>0</v>
      </c>
      <c r="AH32" s="1236" t="s">
        <v>1646</v>
      </c>
      <c r="AK32" s="1236"/>
    </row>
    <row r="33" spans="1:42" ht="15" customHeight="1">
      <c r="A33" s="246">
        <v>16</v>
      </c>
      <c r="B33" s="128" t="s">
        <v>570</v>
      </c>
      <c r="C33" s="247" t="e">
        <v>#REF!</v>
      </c>
      <c r="D33" s="247" t="e">
        <v>#REF!</v>
      </c>
      <c r="E33" s="129"/>
      <c r="F33" s="247" t="e">
        <v>#REF!</v>
      </c>
      <c r="G33" s="247" t="e">
        <v>#REF!</v>
      </c>
      <c r="H33" s="247"/>
      <c r="N33" s="128"/>
      <c r="O33" s="128"/>
      <c r="P33" s="128"/>
      <c r="Q33" s="128"/>
      <c r="R33" s="247" t="e">
        <v>#REF!</v>
      </c>
      <c r="S33" s="247" t="e">
        <v>#REF!</v>
      </c>
      <c r="T33" s="247" t="e">
        <v>#REF!</v>
      </c>
      <c r="U33" s="247"/>
      <c r="V33" s="247"/>
      <c r="W33" s="247"/>
      <c r="X33" s="367"/>
      <c r="Y33" s="247" t="e">
        <v>#REF!</v>
      </c>
      <c r="Z33" s="367">
        <v>0</v>
      </c>
      <c r="AA33" s="367"/>
      <c r="AB33" s="844"/>
      <c r="AC33" s="1449"/>
      <c r="AD33" s="1917"/>
      <c r="AE33" s="725"/>
      <c r="AF33" s="725"/>
      <c r="AG33" s="125">
        <v>0</v>
      </c>
    </row>
    <row r="34" spans="1:42" ht="15" customHeight="1">
      <c r="A34" s="144" t="s">
        <v>571</v>
      </c>
      <c r="B34" s="128" t="s">
        <v>572</v>
      </c>
      <c r="C34" s="145">
        <v>13500000</v>
      </c>
      <c r="D34" s="145"/>
      <c r="E34" s="145">
        <v>14300000</v>
      </c>
      <c r="F34" s="145"/>
      <c r="G34" s="145">
        <v>14300000</v>
      </c>
      <c r="H34" s="145"/>
      <c r="I34" s="131"/>
      <c r="K34" s="128" t="s">
        <v>540</v>
      </c>
      <c r="L34" s="129">
        <v>11379225.939999999</v>
      </c>
      <c r="M34" s="129">
        <v>12824705.390000001</v>
      </c>
      <c r="N34" s="129">
        <v>14850000</v>
      </c>
      <c r="O34" s="129">
        <v>13996873.829999998</v>
      </c>
      <c r="P34" s="367">
        <v>16000000</v>
      </c>
      <c r="Q34" s="131">
        <v>15501149</v>
      </c>
      <c r="R34" s="247" t="e">
        <v>#REF!</v>
      </c>
      <c r="S34" s="247" t="e">
        <v>#REF!</v>
      </c>
      <c r="T34" s="247" t="e">
        <v>#REF!</v>
      </c>
      <c r="U34" s="247" t="e">
        <v>#REF!</v>
      </c>
      <c r="V34" s="247" t="e">
        <v>#REF!</v>
      </c>
      <c r="W34" s="247" t="e">
        <v>#REF!</v>
      </c>
      <c r="X34" s="367" t="e">
        <v>#REF!</v>
      </c>
      <c r="Y34" s="247" t="e">
        <v>#REF!</v>
      </c>
      <c r="Z34" s="367">
        <v>2052929</v>
      </c>
      <c r="AA34" s="367">
        <v>1000000</v>
      </c>
      <c r="AB34" s="844">
        <v>1000000</v>
      </c>
      <c r="AC34" s="1449">
        <v>500000</v>
      </c>
      <c r="AD34" s="1917">
        <v>500000</v>
      </c>
      <c r="AE34" s="725">
        <v>500000</v>
      </c>
      <c r="AF34" s="725">
        <v>500000</v>
      </c>
      <c r="AG34" s="125">
        <v>0</v>
      </c>
      <c r="AH34" s="1236" t="s">
        <v>1647</v>
      </c>
    </row>
    <row r="35" spans="1:42" ht="15" customHeight="1">
      <c r="A35" s="144"/>
      <c r="B35" s="1236" t="s">
        <v>1576</v>
      </c>
      <c r="C35" s="145"/>
      <c r="D35" s="145"/>
      <c r="E35" s="145"/>
      <c r="F35" s="145"/>
      <c r="G35" s="145"/>
      <c r="H35" s="145"/>
      <c r="I35" s="131"/>
      <c r="L35" s="129"/>
      <c r="M35" s="129"/>
      <c r="N35" s="129"/>
      <c r="O35" s="129"/>
      <c r="P35" s="367"/>
      <c r="Q35" s="131"/>
      <c r="R35" s="247"/>
      <c r="S35" s="247"/>
      <c r="T35" s="247"/>
      <c r="U35" s="247"/>
      <c r="V35" s="247"/>
      <c r="W35" s="247"/>
      <c r="X35" s="367"/>
      <c r="Y35" s="247"/>
      <c r="Z35" s="367"/>
      <c r="AA35" s="367"/>
      <c r="AB35" s="844"/>
      <c r="AC35" s="1449">
        <v>2659653</v>
      </c>
      <c r="AD35" s="1842">
        <v>3216320</v>
      </c>
      <c r="AE35" s="1812">
        <v>3216320</v>
      </c>
      <c r="AF35" s="1812">
        <v>3216320</v>
      </c>
      <c r="AG35" s="125">
        <v>556667</v>
      </c>
      <c r="AH35" s="1236" t="s">
        <v>1648</v>
      </c>
    </row>
    <row r="36" spans="1:42" ht="15" customHeight="1">
      <c r="A36" s="144" t="s">
        <v>573</v>
      </c>
      <c r="B36" s="128" t="s">
        <v>574</v>
      </c>
      <c r="C36" s="145"/>
      <c r="D36" s="145"/>
      <c r="E36" s="145"/>
      <c r="F36" s="145"/>
      <c r="G36" s="145"/>
      <c r="H36" s="145"/>
      <c r="I36" s="131"/>
      <c r="L36" s="129">
        <v>3786028.5700000003</v>
      </c>
      <c r="M36" s="129">
        <v>4508173.96</v>
      </c>
      <c r="N36" s="129">
        <v>5150000</v>
      </c>
      <c r="O36" s="129">
        <v>4924761.8900000006</v>
      </c>
      <c r="P36" s="367">
        <v>5250000</v>
      </c>
      <c r="Q36" s="131">
        <v>5164191</v>
      </c>
      <c r="R36" s="247" t="e">
        <v>#REF!</v>
      </c>
      <c r="S36" s="247" t="e">
        <v>#REF!</v>
      </c>
      <c r="T36" s="247" t="e">
        <v>#REF!</v>
      </c>
      <c r="U36" s="247" t="e">
        <v>#REF!</v>
      </c>
      <c r="V36" s="247" t="e">
        <v>#REF!</v>
      </c>
      <c r="W36" s="247" t="e">
        <v>#REF!</v>
      </c>
      <c r="X36" s="367" t="e">
        <v>#REF!</v>
      </c>
      <c r="Y36" s="247" t="e">
        <v>#REF!</v>
      </c>
      <c r="Z36" s="367">
        <v>7555834.5</v>
      </c>
      <c r="AA36" s="367">
        <v>7167000</v>
      </c>
      <c r="AB36" s="844">
        <v>6831474.4836000018</v>
      </c>
      <c r="AC36" s="1449">
        <v>7333693.2576000011</v>
      </c>
      <c r="AD36" s="1521">
        <v>4036325.1379999984</v>
      </c>
      <c r="AE36" s="725">
        <v>4177596.5178299979</v>
      </c>
      <c r="AF36" s="725">
        <v>4312532.8853559066</v>
      </c>
      <c r="AG36" s="125">
        <v>-3297368.1196000027</v>
      </c>
      <c r="AH36" s="1236" t="s">
        <v>1649</v>
      </c>
      <c r="AI36" s="1236" t="s">
        <v>1732</v>
      </c>
    </row>
    <row r="37" spans="1:42" ht="15" customHeight="1">
      <c r="A37" s="144">
        <v>18</v>
      </c>
      <c r="B37" s="128" t="s">
        <v>575</v>
      </c>
      <c r="C37" s="145">
        <v>427000</v>
      </c>
      <c r="D37" s="145"/>
      <c r="E37" s="145">
        <v>427000</v>
      </c>
      <c r="F37" s="145"/>
      <c r="G37" s="145">
        <v>427000</v>
      </c>
      <c r="H37" s="145"/>
      <c r="I37" s="131"/>
      <c r="L37" s="129">
        <v>525899</v>
      </c>
      <c r="M37" s="129">
        <v>406963</v>
      </c>
      <c r="N37" s="129">
        <v>387974</v>
      </c>
      <c r="O37" s="129">
        <v>308183</v>
      </c>
      <c r="P37" s="367">
        <v>618193</v>
      </c>
      <c r="Q37" s="131">
        <v>636232</v>
      </c>
      <c r="R37" s="247" t="e">
        <v>#REF!</v>
      </c>
      <c r="S37" s="247" t="e">
        <v>#REF!</v>
      </c>
      <c r="T37" s="247" t="e">
        <v>#REF!</v>
      </c>
      <c r="U37" s="247" t="e">
        <v>#REF!</v>
      </c>
      <c r="V37" s="247" t="e">
        <v>#REF!</v>
      </c>
      <c r="W37" s="247" t="e">
        <v>#REF!</v>
      </c>
      <c r="X37" s="367" t="e">
        <v>#REF!</v>
      </c>
      <c r="Y37" s="247" t="e">
        <v>#REF!</v>
      </c>
      <c r="Z37" s="367">
        <v>1806889.4441008258</v>
      </c>
      <c r="AA37" s="367">
        <v>1459275.93</v>
      </c>
      <c r="AB37" s="844">
        <v>814797.02809917391</v>
      </c>
      <c r="AC37" s="1449">
        <v>1519339.8</v>
      </c>
      <c r="AD37" s="1558">
        <v>1086861.7500000002</v>
      </c>
      <c r="AE37" s="725">
        <v>1099445.1075000002</v>
      </c>
      <c r="AF37" s="725">
        <v>1112028.4650000001</v>
      </c>
      <c r="AG37" s="125">
        <v>-432478.04999999981</v>
      </c>
    </row>
    <row r="38" spans="1:42" ht="15" customHeight="1">
      <c r="A38" s="144">
        <v>19</v>
      </c>
      <c r="B38" s="128" t="s">
        <v>557</v>
      </c>
      <c r="C38" s="145">
        <v>556000</v>
      </c>
      <c r="D38" s="145"/>
      <c r="E38" s="145">
        <v>556000</v>
      </c>
      <c r="F38" s="145"/>
      <c r="G38" s="145">
        <v>556000</v>
      </c>
      <c r="H38" s="145"/>
      <c r="I38" s="131"/>
      <c r="L38" s="129">
        <v>669293.27</v>
      </c>
      <c r="M38" s="129">
        <v>437074.23</v>
      </c>
      <c r="N38" s="129">
        <v>356000</v>
      </c>
      <c r="O38" s="129">
        <v>396616.42</v>
      </c>
      <c r="P38" s="367">
        <v>368000</v>
      </c>
      <c r="Q38" s="131">
        <v>342116</v>
      </c>
      <c r="R38" s="247" t="e">
        <v>#REF!</v>
      </c>
      <c r="S38" s="247" t="e">
        <v>#REF!</v>
      </c>
      <c r="T38" s="247" t="e">
        <v>#REF!</v>
      </c>
      <c r="U38" s="247" t="e">
        <v>#REF!</v>
      </c>
      <c r="V38" s="247" t="e">
        <v>#REF!</v>
      </c>
      <c r="W38" s="247" t="e">
        <v>#REF!</v>
      </c>
      <c r="X38" s="367" t="e">
        <v>#REF!</v>
      </c>
      <c r="Y38" s="247" t="e">
        <v>#REF!</v>
      </c>
      <c r="Z38" s="367">
        <v>62150</v>
      </c>
      <c r="AA38" s="367">
        <v>273000</v>
      </c>
      <c r="AB38" s="844">
        <v>231196</v>
      </c>
      <c r="AC38" s="1449">
        <v>238730</v>
      </c>
      <c r="AD38" s="1917">
        <v>399801</v>
      </c>
      <c r="AE38" s="725">
        <v>399801</v>
      </c>
      <c r="AF38" s="725">
        <v>399801</v>
      </c>
      <c r="AG38" s="125">
        <v>161071</v>
      </c>
    </row>
    <row r="39" spans="1:42" ht="15" customHeight="1">
      <c r="A39" s="144">
        <v>20</v>
      </c>
      <c r="B39" s="128" t="s">
        <v>576</v>
      </c>
      <c r="C39" s="145">
        <v>226900</v>
      </c>
      <c r="D39" s="145"/>
      <c r="E39" s="145">
        <v>226900</v>
      </c>
      <c r="F39" s="145"/>
      <c r="G39" s="145">
        <v>226900</v>
      </c>
      <c r="H39" s="145"/>
      <c r="I39" s="131"/>
      <c r="L39" s="129">
        <v>1314519</v>
      </c>
      <c r="M39" s="129">
        <v>3138940.16</v>
      </c>
      <c r="N39" s="129">
        <v>575000</v>
      </c>
      <c r="O39" s="129">
        <v>2155021</v>
      </c>
      <c r="P39" s="367">
        <v>775000</v>
      </c>
      <c r="Q39" s="131">
        <v>12543897</v>
      </c>
      <c r="R39" s="247" t="e">
        <v>#REF!</v>
      </c>
      <c r="S39" s="247" t="e">
        <v>#REF!</v>
      </c>
      <c r="T39" s="247" t="e">
        <v>#REF!</v>
      </c>
      <c r="U39" s="247" t="e">
        <v>#REF!</v>
      </c>
      <c r="V39" s="247" t="e">
        <v>#REF!</v>
      </c>
      <c r="W39" s="247" t="e">
        <v>#REF!</v>
      </c>
      <c r="X39" s="367" t="e">
        <v>#REF!</v>
      </c>
      <c r="Y39" s="247" t="e">
        <v>#REF!</v>
      </c>
      <c r="Z39" s="367">
        <v>2816500</v>
      </c>
      <c r="AA39" s="367">
        <v>12696522</v>
      </c>
      <c r="AB39" s="844">
        <v>3416438.27</v>
      </c>
      <c r="AC39" s="1449">
        <v>3275429.45</v>
      </c>
      <c r="AD39" s="1917">
        <v>1638446.896742</v>
      </c>
      <c r="AE39" s="1303">
        <v>3259436.3831279702</v>
      </c>
      <c r="AF39" s="1303">
        <v>3364716.1783030038</v>
      </c>
      <c r="AG39" s="125">
        <v>-1636982.5532580002</v>
      </c>
      <c r="AH39" s="1236"/>
      <c r="AJ39" s="1236"/>
    </row>
    <row r="40" spans="1:42" ht="15" customHeight="1">
      <c r="A40" s="144">
        <v>21</v>
      </c>
      <c r="B40" s="128" t="s">
        <v>577</v>
      </c>
      <c r="C40" s="145">
        <v>3640000</v>
      </c>
      <c r="D40" s="145"/>
      <c r="E40" s="145">
        <v>2500000</v>
      </c>
      <c r="F40" s="145"/>
      <c r="G40" s="145">
        <v>2500000</v>
      </c>
      <c r="H40" s="145"/>
      <c r="I40" s="131"/>
      <c r="L40" s="129">
        <v>2412007.9699999997</v>
      </c>
      <c r="M40" s="129">
        <v>2851854</v>
      </c>
      <c r="N40" s="129">
        <v>4075000</v>
      </c>
      <c r="O40" s="129">
        <v>2670561.2999999998</v>
      </c>
      <c r="P40" s="367">
        <v>3854322</v>
      </c>
      <c r="Q40" s="131">
        <v>3060111</v>
      </c>
      <c r="R40" s="247" t="e">
        <v>#REF!</v>
      </c>
      <c r="S40" s="247" t="e">
        <v>#REF!</v>
      </c>
      <c r="T40" s="247" t="e">
        <v>#REF!</v>
      </c>
      <c r="U40" s="247" t="e">
        <v>#REF!</v>
      </c>
      <c r="V40" s="247" t="e">
        <v>#REF!</v>
      </c>
      <c r="W40" s="247" t="e">
        <v>#REF!</v>
      </c>
      <c r="X40" s="367" t="e">
        <v>#REF!</v>
      </c>
      <c r="Y40" s="247" t="e">
        <v>#REF!</v>
      </c>
      <c r="Z40" s="367">
        <v>5148453.8480000002</v>
      </c>
      <c r="AA40" s="367">
        <v>5503077.0615069997</v>
      </c>
      <c r="AB40" s="844">
        <v>4733071.33</v>
      </c>
      <c r="AC40" s="1449">
        <v>4576146</v>
      </c>
      <c r="AD40" s="1980">
        <v>5020544.0200000005</v>
      </c>
      <c r="AE40" s="1303">
        <v>5196263.0607000003</v>
      </c>
      <c r="AF40" s="1303">
        <v>5364102.3575606104</v>
      </c>
      <c r="AG40" s="125">
        <v>444398.02000000048</v>
      </c>
      <c r="AH40" s="1236"/>
    </row>
    <row r="41" spans="1:42" ht="15" customHeight="1">
      <c r="A41" s="144">
        <v>22</v>
      </c>
      <c r="B41" s="128" t="s">
        <v>578</v>
      </c>
      <c r="C41" s="145">
        <v>2439124</v>
      </c>
      <c r="D41" s="145"/>
      <c r="E41" s="366" t="s">
        <v>579</v>
      </c>
      <c r="F41" s="145"/>
      <c r="G41" s="145" t="s">
        <v>580</v>
      </c>
      <c r="H41" s="145"/>
      <c r="I41" s="131"/>
      <c r="K41" s="128" t="s">
        <v>540</v>
      </c>
      <c r="L41" s="129">
        <v>1622650</v>
      </c>
      <c r="M41" s="129">
        <v>600399</v>
      </c>
      <c r="N41" s="129">
        <v>0</v>
      </c>
      <c r="O41" s="129">
        <v>0</v>
      </c>
      <c r="P41" s="367">
        <v>0</v>
      </c>
      <c r="Q41" s="131"/>
      <c r="R41" s="247" t="e">
        <v>#REF!</v>
      </c>
      <c r="S41" s="247" t="e">
        <v>#REF!</v>
      </c>
      <c r="T41" s="247">
        <v>2393725</v>
      </c>
      <c r="U41" s="247" t="e">
        <v>#REF!</v>
      </c>
      <c r="V41" s="247" t="e">
        <v>#REF!</v>
      </c>
      <c r="W41" s="247" t="e">
        <v>#REF!</v>
      </c>
      <c r="X41" s="367" t="e">
        <v>#REF!</v>
      </c>
      <c r="Y41" s="247" t="e">
        <v>#REF!</v>
      </c>
      <c r="Z41" s="367">
        <v>2647591.3001932967</v>
      </c>
      <c r="AA41" s="367">
        <v>4209056.1580504216</v>
      </c>
      <c r="AB41" s="844">
        <v>13157247.849569717</v>
      </c>
      <c r="AC41" s="1449">
        <v>12570200.144738192</v>
      </c>
      <c r="AD41" s="1918">
        <v>21265893.265523002</v>
      </c>
      <c r="AE41" s="1816">
        <v>31052458.061033249</v>
      </c>
      <c r="AF41" s="1816">
        <v>41335761.638167351</v>
      </c>
      <c r="AG41" s="125">
        <v>8695693.1207848098</v>
      </c>
      <c r="AH41" s="1236" t="s">
        <v>1651</v>
      </c>
      <c r="AL41" s="1266"/>
      <c r="AM41" s="1266"/>
      <c r="AN41" s="1266"/>
      <c r="AO41" s="1266"/>
      <c r="AP41" s="1266"/>
    </row>
    <row r="42" spans="1:42" ht="15" customHeight="1">
      <c r="A42" s="144">
        <v>23</v>
      </c>
      <c r="B42" s="128" t="s">
        <v>581</v>
      </c>
      <c r="C42" s="145"/>
      <c r="D42" s="145"/>
      <c r="E42" s="366"/>
      <c r="F42" s="145"/>
      <c r="G42" s="145"/>
      <c r="H42" s="145"/>
      <c r="I42" s="131"/>
      <c r="L42" s="129"/>
      <c r="M42" s="129"/>
      <c r="N42" s="129"/>
      <c r="O42" s="129"/>
      <c r="P42" s="367"/>
      <c r="Q42" s="131"/>
      <c r="R42" s="247" t="e">
        <v>#REF!</v>
      </c>
      <c r="S42" s="247" t="e">
        <v>#REF!</v>
      </c>
      <c r="T42" s="247" t="e">
        <v>#REF!</v>
      </c>
      <c r="U42" s="191"/>
      <c r="V42" s="191"/>
      <c r="W42" s="191"/>
      <c r="X42" s="397"/>
      <c r="Y42" s="247" t="e">
        <v>#REF!</v>
      </c>
      <c r="Z42" s="367">
        <v>0</v>
      </c>
      <c r="AA42" s="397"/>
      <c r="AB42" s="845"/>
      <c r="AC42" s="1452"/>
      <c r="AD42" s="1990"/>
      <c r="AE42" s="727"/>
      <c r="AF42" s="727"/>
      <c r="AG42" s="125">
        <v>0</v>
      </c>
      <c r="AL42" s="1266"/>
      <c r="AM42" s="1266"/>
      <c r="AN42" s="1266"/>
      <c r="AO42" s="1266"/>
      <c r="AP42" s="1266"/>
    </row>
    <row r="43" spans="1:42" ht="15" customHeight="1">
      <c r="A43" s="144">
        <v>24</v>
      </c>
      <c r="B43" s="128" t="s">
        <v>582</v>
      </c>
      <c r="C43" s="145"/>
      <c r="D43" s="145"/>
      <c r="E43" s="366"/>
      <c r="F43" s="145"/>
      <c r="G43" s="145"/>
      <c r="H43" s="145"/>
      <c r="I43" s="131"/>
      <c r="L43" s="129"/>
      <c r="M43" s="129"/>
      <c r="N43" s="129"/>
      <c r="O43" s="129"/>
      <c r="P43" s="367"/>
      <c r="Q43" s="131"/>
      <c r="R43" s="247" t="e">
        <v>#REF!</v>
      </c>
      <c r="S43" s="247" t="e">
        <v>#REF!</v>
      </c>
      <c r="T43" s="247" t="e">
        <v>#REF!</v>
      </c>
      <c r="U43" s="247" t="e">
        <v>#REF!</v>
      </c>
      <c r="V43" s="247" t="e">
        <v>#REF!</v>
      </c>
      <c r="W43" s="247" t="e">
        <v>#REF!</v>
      </c>
      <c r="X43" s="367" t="e">
        <v>#REF!</v>
      </c>
      <c r="Y43" s="247" t="e">
        <v>#REF!</v>
      </c>
      <c r="Z43" s="367">
        <v>994000</v>
      </c>
      <c r="AA43" s="367">
        <v>1000000</v>
      </c>
      <c r="AB43" s="844">
        <v>50000</v>
      </c>
      <c r="AC43" s="1449">
        <v>50000</v>
      </c>
      <c r="AD43" s="1917">
        <v>50000</v>
      </c>
      <c r="AE43" s="725">
        <v>50000</v>
      </c>
      <c r="AF43" s="725">
        <v>50000</v>
      </c>
      <c r="AG43" s="125">
        <v>0</v>
      </c>
      <c r="AH43" s="1266" t="s">
        <v>1764</v>
      </c>
    </row>
    <row r="44" spans="1:42" ht="15" customHeight="1">
      <c r="A44" s="144">
        <v>25</v>
      </c>
      <c r="B44" s="128" t="s">
        <v>583</v>
      </c>
      <c r="C44" s="145"/>
      <c r="D44" s="145"/>
      <c r="E44" s="366"/>
      <c r="F44" s="145"/>
      <c r="G44" s="145"/>
      <c r="H44" s="145"/>
      <c r="I44" s="131"/>
      <c r="L44" s="129"/>
      <c r="M44" s="129"/>
      <c r="N44" s="129"/>
      <c r="O44" s="129"/>
      <c r="P44" s="367"/>
      <c r="Q44" s="131"/>
      <c r="R44" s="247" t="e">
        <v>#REF!</v>
      </c>
      <c r="S44" s="247" t="e">
        <v>#REF!</v>
      </c>
      <c r="T44" s="247" t="e">
        <v>#REF!</v>
      </c>
      <c r="U44" s="247" t="e">
        <v>#REF!</v>
      </c>
      <c r="V44" s="247" t="e">
        <v>#REF!</v>
      </c>
      <c r="W44" s="247" t="e">
        <v>#REF!</v>
      </c>
      <c r="X44" s="367" t="e">
        <v>#REF!</v>
      </c>
      <c r="Y44" s="247" t="e">
        <v>#REF!</v>
      </c>
      <c r="Z44" s="367">
        <v>0</v>
      </c>
      <c r="AA44" s="367">
        <v>1500000</v>
      </c>
      <c r="AB44" s="844">
        <v>2785912.4258986115</v>
      </c>
      <c r="AC44" s="1449">
        <v>0</v>
      </c>
      <c r="AD44" s="1919">
        <v>-186586.79252164182</v>
      </c>
      <c r="AE44" s="1611">
        <v>6501080.1380844386</v>
      </c>
      <c r="AF44" s="1611">
        <v>5907544.0063171955</v>
      </c>
      <c r="AG44" s="125">
        <v>-186586.79252164182</v>
      </c>
      <c r="AH44" s="1266"/>
    </row>
    <row r="45" spans="1:42" ht="15" customHeight="1">
      <c r="A45" s="144">
        <v>26</v>
      </c>
      <c r="B45" s="1236" t="s">
        <v>1610</v>
      </c>
      <c r="C45" s="145">
        <v>622449</v>
      </c>
      <c r="D45" s="145"/>
      <c r="E45" s="145">
        <v>622449</v>
      </c>
      <c r="F45" s="145"/>
      <c r="G45" s="145">
        <v>622449</v>
      </c>
      <c r="H45" s="145"/>
      <c r="L45" s="129">
        <v>654338</v>
      </c>
      <c r="M45" s="129">
        <v>552363.14</v>
      </c>
      <c r="N45" s="129">
        <v>800000</v>
      </c>
      <c r="O45" s="129">
        <v>883193.62</v>
      </c>
      <c r="P45" s="367">
        <v>800000</v>
      </c>
      <c r="Q45" s="131">
        <v>437462</v>
      </c>
      <c r="R45" s="247" t="e">
        <v>#REF!</v>
      </c>
      <c r="S45" s="247" t="e">
        <v>#REF!</v>
      </c>
      <c r="T45" s="247" t="e">
        <v>#REF!</v>
      </c>
      <c r="U45" s="247" t="e">
        <v>#REF!</v>
      </c>
      <c r="V45" s="247" t="e">
        <v>#REF!</v>
      </c>
      <c r="W45" s="247" t="e">
        <v>#REF!</v>
      </c>
      <c r="X45" s="367" t="e">
        <v>#REF!</v>
      </c>
      <c r="Y45" s="247" t="e">
        <v>#REF!</v>
      </c>
      <c r="Z45" s="367">
        <v>1259045</v>
      </c>
      <c r="AA45" s="367">
        <v>1220273</v>
      </c>
      <c r="AB45" s="844">
        <v>1258101</v>
      </c>
      <c r="AC45" s="1449">
        <v>1236000</v>
      </c>
      <c r="AD45" s="1984">
        <v>1412605.31</v>
      </c>
      <c r="AE45" s="725">
        <v>1462046.4958499998</v>
      </c>
      <c r="AF45" s="725">
        <v>1509270.5976659548</v>
      </c>
      <c r="AG45" s="125">
        <v>176605.31000000006</v>
      </c>
    </row>
    <row r="46" spans="1:42" ht="15" customHeight="1">
      <c r="A46" s="144">
        <v>27</v>
      </c>
      <c r="B46" s="128" t="s">
        <v>585</v>
      </c>
      <c r="C46" s="145">
        <v>301820</v>
      </c>
      <c r="D46" s="145"/>
      <c r="E46" s="145">
        <v>222820</v>
      </c>
      <c r="F46" s="145"/>
      <c r="G46" s="145">
        <v>222820</v>
      </c>
      <c r="H46" s="145"/>
      <c r="L46" s="129">
        <v>845400.52</v>
      </c>
      <c r="M46" s="129">
        <v>475745.9</v>
      </c>
      <c r="N46" s="129">
        <v>475000</v>
      </c>
      <c r="O46" s="129">
        <v>100365.8</v>
      </c>
      <c r="P46" s="367">
        <v>475000</v>
      </c>
      <c r="Q46" s="131">
        <v>472008</v>
      </c>
      <c r="R46" s="247" t="e">
        <v>#REF!</v>
      </c>
      <c r="S46" s="247" t="e">
        <v>#REF!</v>
      </c>
      <c r="T46" s="247" t="e">
        <v>#REF!</v>
      </c>
      <c r="U46" s="247" t="e">
        <v>#REF!</v>
      </c>
      <c r="V46" s="247" t="e">
        <v>#REF!</v>
      </c>
      <c r="W46" s="247" t="e">
        <v>#REF!</v>
      </c>
      <c r="X46" s="367" t="e">
        <v>#REF!</v>
      </c>
      <c r="Y46" s="247" t="e">
        <v>#REF!</v>
      </c>
      <c r="Z46" s="367">
        <v>960000</v>
      </c>
      <c r="AA46" s="367">
        <v>1730000</v>
      </c>
      <c r="AB46" s="844">
        <v>680800</v>
      </c>
      <c r="AC46" s="1449">
        <v>1175000</v>
      </c>
      <c r="AD46" s="1985">
        <v>785000</v>
      </c>
      <c r="AE46" s="725">
        <v>553725</v>
      </c>
      <c r="AF46" s="1816">
        <v>313535.3175</v>
      </c>
      <c r="AG46" s="125">
        <v>-390000</v>
      </c>
      <c r="AH46" s="1236" t="s">
        <v>1652</v>
      </c>
    </row>
    <row r="47" spans="1:42" ht="15" customHeight="1">
      <c r="A47" s="144">
        <v>28</v>
      </c>
      <c r="B47" s="128" t="s">
        <v>586</v>
      </c>
      <c r="C47" s="145">
        <v>318000</v>
      </c>
      <c r="D47" s="145"/>
      <c r="E47" s="145">
        <v>286324</v>
      </c>
      <c r="F47" s="145"/>
      <c r="G47" s="145">
        <v>286324</v>
      </c>
      <c r="H47" s="145"/>
      <c r="K47" s="128" t="s">
        <v>540</v>
      </c>
      <c r="L47" s="129">
        <v>278280.99</v>
      </c>
      <c r="M47" s="129">
        <v>286691.12</v>
      </c>
      <c r="N47" s="129">
        <v>317704</v>
      </c>
      <c r="O47" s="129">
        <v>364093.89999999997</v>
      </c>
      <c r="P47" s="367">
        <v>325000</v>
      </c>
      <c r="Q47" s="131">
        <v>309733</v>
      </c>
      <c r="R47" s="247" t="e">
        <v>#REF!</v>
      </c>
      <c r="S47" s="247" t="e">
        <v>#REF!</v>
      </c>
      <c r="T47" s="247" t="e">
        <v>#REF!</v>
      </c>
      <c r="U47" s="247" t="e">
        <v>#REF!</v>
      </c>
      <c r="V47" s="247" t="e">
        <v>#REF!</v>
      </c>
      <c r="W47" s="247" t="e">
        <v>#REF!</v>
      </c>
      <c r="X47" s="367" t="e">
        <v>#REF!</v>
      </c>
      <c r="Y47" s="247" t="e">
        <v>#REF!</v>
      </c>
      <c r="Z47" s="367">
        <v>475000</v>
      </c>
      <c r="AA47" s="367">
        <v>498000</v>
      </c>
      <c r="AB47" s="844">
        <v>631663.5</v>
      </c>
      <c r="AC47" s="1449">
        <v>542000</v>
      </c>
      <c r="AD47" s="1525">
        <v>577000</v>
      </c>
      <c r="AE47" s="725">
        <v>597195</v>
      </c>
      <c r="AF47" s="725">
        <v>616484.39850000001</v>
      </c>
      <c r="AG47" s="125">
        <v>35000</v>
      </c>
    </row>
    <row r="48" spans="1:42" ht="15" customHeight="1">
      <c r="A48" s="144">
        <v>29</v>
      </c>
      <c r="B48" s="128" t="s">
        <v>587</v>
      </c>
      <c r="C48" s="145">
        <v>450000</v>
      </c>
      <c r="D48" s="145"/>
      <c r="E48" s="145">
        <v>450000</v>
      </c>
      <c r="F48" s="145"/>
      <c r="G48" s="145">
        <v>450000</v>
      </c>
      <c r="H48" s="145"/>
      <c r="L48" s="129">
        <v>582617.8600000001</v>
      </c>
      <c r="M48" s="129">
        <v>533662.74</v>
      </c>
      <c r="N48" s="129">
        <v>597400</v>
      </c>
      <c r="O48" s="129">
        <v>597664.27</v>
      </c>
      <c r="P48" s="367">
        <v>597400</v>
      </c>
      <c r="Q48" s="131">
        <v>362812</v>
      </c>
      <c r="R48" s="247" t="e">
        <v>#REF!</v>
      </c>
      <c r="S48" s="247" t="e">
        <v>#REF!</v>
      </c>
      <c r="T48" s="247" t="e">
        <v>#REF!</v>
      </c>
      <c r="U48" s="247" t="e">
        <v>#REF!</v>
      </c>
      <c r="V48" s="247" t="e">
        <v>#REF!</v>
      </c>
      <c r="W48" s="247" t="e">
        <v>#REF!</v>
      </c>
      <c r="X48" s="367" t="e">
        <v>#REF!</v>
      </c>
      <c r="Y48" s="247" t="e">
        <v>#REF!</v>
      </c>
      <c r="Z48" s="367">
        <v>1820119</v>
      </c>
      <c r="AA48" s="367">
        <v>1878800</v>
      </c>
      <c r="AB48" s="844">
        <v>2015768</v>
      </c>
      <c r="AC48" s="1449">
        <v>2129621</v>
      </c>
      <c r="AD48" s="1558">
        <v>2286215.7905000001</v>
      </c>
      <c r="AE48" s="725">
        <v>2366233.3431675001</v>
      </c>
      <c r="AF48" s="725">
        <v>2442662.6801518104</v>
      </c>
      <c r="AG48" s="125">
        <v>156594.79050000012</v>
      </c>
    </row>
    <row r="49" spans="1:34" ht="15" customHeight="1">
      <c r="A49" s="144">
        <v>30</v>
      </c>
      <c r="B49" s="128" t="s">
        <v>588</v>
      </c>
      <c r="C49" s="145">
        <v>306900</v>
      </c>
      <c r="D49" s="145"/>
      <c r="E49" s="145">
        <v>306900</v>
      </c>
      <c r="F49" s="145"/>
      <c r="G49" s="145">
        <v>306900</v>
      </c>
      <c r="H49" s="145"/>
      <c r="L49" s="129">
        <v>326754.89</v>
      </c>
      <c r="M49" s="129">
        <v>328588.40999999997</v>
      </c>
      <c r="N49" s="129">
        <v>306900</v>
      </c>
      <c r="O49" s="129">
        <v>329552.63999999996</v>
      </c>
      <c r="P49" s="367">
        <v>306900</v>
      </c>
      <c r="Q49" s="131">
        <v>298147</v>
      </c>
      <c r="R49" s="247" t="e">
        <v>#REF!</v>
      </c>
      <c r="S49" s="247" t="e">
        <v>#REF!</v>
      </c>
      <c r="T49" s="247" t="e">
        <v>#REF!</v>
      </c>
      <c r="U49" s="247" t="e">
        <v>#REF!</v>
      </c>
      <c r="V49" s="247" t="e">
        <v>#REF!</v>
      </c>
      <c r="W49" s="247" t="e">
        <v>#REF!</v>
      </c>
      <c r="X49" s="367" t="e">
        <v>#REF!</v>
      </c>
      <c r="Y49" s="247" t="e">
        <v>#REF!</v>
      </c>
      <c r="Z49" s="367">
        <v>0</v>
      </c>
      <c r="AA49" s="367">
        <v>0</v>
      </c>
      <c r="AB49" s="844">
        <v>0</v>
      </c>
      <c r="AC49" s="1449"/>
      <c r="AD49" s="1558">
        <v>0</v>
      </c>
      <c r="AE49" s="725">
        <v>0</v>
      </c>
      <c r="AF49" s="725">
        <v>0</v>
      </c>
      <c r="AG49" s="125">
        <v>0</v>
      </c>
    </row>
    <row r="50" spans="1:34" ht="15" customHeight="1">
      <c r="A50" s="144">
        <v>31</v>
      </c>
      <c r="B50" s="128" t="s">
        <v>589</v>
      </c>
      <c r="C50" s="145">
        <v>1228000</v>
      </c>
      <c r="D50" s="145"/>
      <c r="E50" s="145">
        <v>1228000</v>
      </c>
      <c r="F50" s="145"/>
      <c r="G50" s="145">
        <v>1228000</v>
      </c>
      <c r="H50" s="145"/>
      <c r="I50" s="147"/>
      <c r="L50" s="129">
        <v>1500000</v>
      </c>
      <c r="M50" s="129">
        <v>1500000</v>
      </c>
      <c r="N50" s="129">
        <v>1500000</v>
      </c>
      <c r="O50" s="129">
        <v>1500000</v>
      </c>
      <c r="P50" s="367">
        <v>1500000</v>
      </c>
      <c r="Q50" s="131">
        <v>1500000</v>
      </c>
      <c r="R50" s="247" t="e">
        <v>#REF!</v>
      </c>
      <c r="S50" s="247" t="e">
        <v>#REF!</v>
      </c>
      <c r="T50" s="247" t="e">
        <v>#REF!</v>
      </c>
      <c r="U50" s="247" t="e">
        <v>#REF!</v>
      </c>
      <c r="V50" s="247" t="e">
        <v>#REF!</v>
      </c>
      <c r="W50" s="247">
        <v>0</v>
      </c>
      <c r="X50" s="367">
        <v>0</v>
      </c>
      <c r="Y50" s="247" t="e">
        <v>#REF!</v>
      </c>
      <c r="Z50" s="367">
        <v>0</v>
      </c>
      <c r="AA50" s="367">
        <v>0</v>
      </c>
      <c r="AB50" s="844">
        <v>0</v>
      </c>
      <c r="AC50" s="1449"/>
      <c r="AD50" s="1558">
        <v>0</v>
      </c>
      <c r="AE50" s="725">
        <v>0</v>
      </c>
      <c r="AF50" s="725">
        <v>0</v>
      </c>
      <c r="AG50" s="125">
        <v>0</v>
      </c>
    </row>
    <row r="51" spans="1:34" ht="15" customHeight="1">
      <c r="A51" s="144">
        <v>32</v>
      </c>
      <c r="B51" s="128" t="s">
        <v>590</v>
      </c>
      <c r="C51" s="366"/>
      <c r="D51" s="145"/>
      <c r="E51" s="366"/>
      <c r="F51" s="145"/>
      <c r="G51" s="145" t="s">
        <v>540</v>
      </c>
      <c r="H51" s="145"/>
      <c r="I51" s="147"/>
      <c r="L51" s="133">
        <v>33998.449999999997</v>
      </c>
      <c r="M51" s="133">
        <v>34060.83</v>
      </c>
      <c r="N51" s="133">
        <v>50000</v>
      </c>
      <c r="O51" s="133">
        <v>38114</v>
      </c>
      <c r="P51" s="370">
        <v>50000</v>
      </c>
      <c r="Q51" s="133">
        <v>41847</v>
      </c>
      <c r="R51" s="371" t="e">
        <v>#REF!</v>
      </c>
      <c r="S51" s="247" t="e">
        <v>#REF!</v>
      </c>
      <c r="T51" s="247" t="e">
        <v>#REF!</v>
      </c>
      <c r="U51" s="247" t="e">
        <v>#REF!</v>
      </c>
      <c r="V51" s="247" t="e">
        <v>#REF!</v>
      </c>
      <c r="W51" s="247" t="e">
        <v>#REF!</v>
      </c>
      <c r="X51" s="367" t="e">
        <v>#REF!</v>
      </c>
      <c r="Y51" s="371" t="e">
        <v>#REF!</v>
      </c>
      <c r="Z51" s="371">
        <v>60000</v>
      </c>
      <c r="AA51" s="370">
        <v>60000</v>
      </c>
      <c r="AB51" s="1444">
        <v>70000</v>
      </c>
      <c r="AC51" s="1449">
        <v>72100</v>
      </c>
      <c r="AD51" s="1989">
        <v>74263</v>
      </c>
      <c r="AE51" s="1303">
        <v>76862.204999999987</v>
      </c>
      <c r="AF51" s="1303">
        <v>79344.854221499991</v>
      </c>
      <c r="AG51" s="125">
        <v>2163</v>
      </c>
    </row>
    <row r="52" spans="1:34" ht="15" customHeight="1">
      <c r="A52" s="144"/>
      <c r="C52" s="366"/>
      <c r="D52" s="145"/>
      <c r="E52" s="366"/>
      <c r="F52" s="145"/>
      <c r="G52" s="145"/>
      <c r="H52" s="145"/>
      <c r="I52" s="147"/>
      <c r="L52" s="136"/>
      <c r="M52" s="375"/>
      <c r="N52" s="136"/>
      <c r="O52" s="136"/>
      <c r="P52" s="362"/>
      <c r="R52" s="363"/>
      <c r="S52" s="377"/>
      <c r="T52" s="378"/>
      <c r="U52" s="377"/>
      <c r="V52" s="377"/>
      <c r="W52" s="377"/>
      <c r="X52" s="511"/>
      <c r="Y52" s="377"/>
      <c r="Z52" s="511"/>
      <c r="AA52" s="511"/>
      <c r="AB52" s="1155"/>
      <c r="AC52" s="1453"/>
      <c r="AD52" s="1993"/>
      <c r="AE52" s="1304"/>
      <c r="AF52" s="1304"/>
      <c r="AG52" s="1689">
        <v>4284776.7259051669</v>
      </c>
    </row>
    <row r="53" spans="1:34" ht="15" customHeight="1" thickBot="1">
      <c r="A53" s="144">
        <v>33</v>
      </c>
      <c r="B53" s="128" t="s">
        <v>591</v>
      </c>
      <c r="C53" s="145" t="e">
        <v>#REF!</v>
      </c>
      <c r="D53" s="145"/>
      <c r="E53" s="145">
        <v>81482106</v>
      </c>
      <c r="F53" s="145" t="e">
        <v>#REF!</v>
      </c>
      <c r="G53" s="145" t="e">
        <v>#REF!</v>
      </c>
      <c r="H53" s="145"/>
      <c r="L53" s="138">
        <v>89456684.049999982</v>
      </c>
      <c r="M53" s="138">
        <v>88284051.980000004</v>
      </c>
      <c r="N53" s="138">
        <v>89547942</v>
      </c>
      <c r="O53" s="138">
        <v>90796903.560000002</v>
      </c>
      <c r="P53" s="206">
        <v>93519156</v>
      </c>
      <c r="Q53" s="138">
        <v>105911035</v>
      </c>
      <c r="R53" s="171" t="e">
        <v>#REF!</v>
      </c>
      <c r="S53" s="171" t="e">
        <v>#REF!</v>
      </c>
      <c r="T53" s="291" t="e">
        <v>#REF!</v>
      </c>
      <c r="U53" s="171" t="e">
        <v>#REF!</v>
      </c>
      <c r="V53" s="171" t="e">
        <v>#REF!</v>
      </c>
      <c r="W53" s="171" t="e">
        <v>#REF!</v>
      </c>
      <c r="X53" s="206" t="e">
        <v>#REF!</v>
      </c>
      <c r="Y53" s="171" t="e">
        <v>#REF!</v>
      </c>
      <c r="Z53" s="206">
        <v>134673374.41308409</v>
      </c>
      <c r="AA53" s="206">
        <v>156803421.57418844</v>
      </c>
      <c r="AB53" s="843">
        <v>152468680.86483181</v>
      </c>
      <c r="AC53" s="1451">
        <v>175703998.56051224</v>
      </c>
      <c r="AD53" s="1992">
        <v>179988775.28641737</v>
      </c>
      <c r="AE53" s="724">
        <v>198334548.22046718</v>
      </c>
      <c r="AF53" s="724">
        <v>208350190.28691739</v>
      </c>
      <c r="AG53" s="125"/>
    </row>
    <row r="54" spans="1:34" ht="15" customHeight="1" thickTop="1">
      <c r="A54" s="144"/>
      <c r="C54" s="145"/>
      <c r="D54" s="145"/>
      <c r="E54" s="145"/>
      <c r="F54" s="145"/>
      <c r="G54" s="145"/>
      <c r="H54" s="145"/>
      <c r="L54" s="136"/>
      <c r="M54" s="375"/>
      <c r="N54" s="136"/>
      <c r="O54" s="136"/>
      <c r="P54" s="362"/>
      <c r="R54" s="363"/>
      <c r="S54" s="363"/>
      <c r="T54" s="379"/>
      <c r="U54" s="363"/>
      <c r="V54" s="363"/>
      <c r="W54" s="363"/>
      <c r="X54" s="362"/>
      <c r="Y54" s="363"/>
      <c r="Z54" s="362"/>
      <c r="AA54" s="362"/>
      <c r="AB54" s="1156"/>
      <c r="AC54" s="1454"/>
      <c r="AD54" s="1994"/>
      <c r="AE54" s="1305"/>
      <c r="AF54" s="1305"/>
      <c r="AG54" s="136"/>
    </row>
    <row r="55" spans="1:34" ht="15" customHeight="1">
      <c r="A55" s="144">
        <v>34</v>
      </c>
      <c r="B55" s="128" t="s">
        <v>592</v>
      </c>
      <c r="C55" s="145" t="e">
        <v>#REF!</v>
      </c>
      <c r="D55" s="145"/>
      <c r="E55" s="145">
        <v>4683339</v>
      </c>
      <c r="F55" s="145" t="e">
        <v>#REF!</v>
      </c>
      <c r="G55" s="145" t="e">
        <v>#REF!</v>
      </c>
      <c r="H55" s="145"/>
      <c r="L55" s="125">
        <v>-294427.98000000417</v>
      </c>
      <c r="M55" s="125">
        <v>311168.01999999583</v>
      </c>
      <c r="N55" s="125">
        <v>184358</v>
      </c>
      <c r="O55" s="125" t="e">
        <v>#REF!</v>
      </c>
      <c r="P55" s="207" t="e">
        <v>#REF!</v>
      </c>
      <c r="Q55" s="125">
        <v>319169</v>
      </c>
      <c r="R55" s="172" t="e">
        <v>#REF!</v>
      </c>
      <c r="S55" s="172" t="e">
        <v>#REF!</v>
      </c>
      <c r="T55" s="292" t="e">
        <v>#REF!</v>
      </c>
      <c r="U55" s="172" t="e">
        <v>#REF!</v>
      </c>
      <c r="V55" s="172" t="e">
        <v>#REF!</v>
      </c>
      <c r="W55" s="172" t="e">
        <v>#REF!</v>
      </c>
      <c r="X55" s="207" t="e">
        <v>#REF!</v>
      </c>
      <c r="Y55" s="172" t="e">
        <v>#REF!</v>
      </c>
      <c r="Z55" s="207">
        <v>-4.1102997958660126</v>
      </c>
      <c r="AA55" s="207">
        <v>0.3897002637386322</v>
      </c>
      <c r="AB55" s="847">
        <v>9539622.2598597109</v>
      </c>
      <c r="AC55" s="1302">
        <v>0.16887220740318298</v>
      </c>
      <c r="AD55" s="1995">
        <v>5610449.5106060803</v>
      </c>
      <c r="AE55" s="729">
        <v>-1093536.1317672431</v>
      </c>
      <c r="AF55" s="729">
        <v>1593602.2352043688</v>
      </c>
      <c r="AG55" s="125">
        <v>5610449.341733817</v>
      </c>
    </row>
    <row r="56" spans="1:34" ht="15" customHeight="1" thickBot="1">
      <c r="B56" s="128" t="s">
        <v>593</v>
      </c>
      <c r="C56" s="145"/>
      <c r="D56" s="145"/>
      <c r="E56" s="145"/>
      <c r="F56" s="145"/>
      <c r="G56" s="145"/>
      <c r="H56" s="145"/>
      <c r="L56" s="145"/>
      <c r="M56" s="145"/>
      <c r="N56" s="145"/>
      <c r="O56" s="145"/>
      <c r="P56" s="380"/>
      <c r="Q56" s="381"/>
      <c r="R56" s="382"/>
      <c r="S56" s="382"/>
      <c r="T56" s="383"/>
      <c r="U56" s="382"/>
      <c r="V56" s="382"/>
      <c r="W56" s="382"/>
      <c r="X56" s="380"/>
      <c r="Y56" s="382"/>
      <c r="Z56" s="380"/>
      <c r="AA56" s="380"/>
      <c r="AB56" s="1157"/>
      <c r="AC56" s="1455"/>
      <c r="AD56" s="1996"/>
      <c r="AE56" s="1445"/>
      <c r="AF56" s="1445"/>
      <c r="AG56" s="25"/>
    </row>
    <row r="57" spans="1:34" ht="15" customHeight="1">
      <c r="C57" s="145"/>
      <c r="D57" s="145"/>
      <c r="E57" s="145"/>
      <c r="F57" s="145"/>
      <c r="G57" s="145"/>
      <c r="H57" s="145"/>
      <c r="L57" s="145"/>
      <c r="M57" s="145"/>
      <c r="N57" s="145"/>
      <c r="O57" s="145"/>
      <c r="T57" s="384"/>
    </row>
    <row r="58" spans="1:34" ht="15" customHeight="1">
      <c r="B58" s="149" t="s">
        <v>981</v>
      </c>
      <c r="C58" s="145"/>
      <c r="D58" s="145"/>
      <c r="E58" s="145"/>
      <c r="F58" s="145"/>
      <c r="G58" s="145"/>
      <c r="H58" s="145"/>
      <c r="L58" s="136"/>
      <c r="M58" s="136"/>
      <c r="N58" s="136"/>
      <c r="O58" s="136"/>
      <c r="P58" s="136"/>
      <c r="Q58" s="136"/>
      <c r="R58" s="136"/>
      <c r="S58" s="385"/>
      <c r="T58" s="386"/>
      <c r="U58" s="385"/>
      <c r="V58" s="385"/>
      <c r="W58" s="386"/>
      <c r="X58" s="386"/>
      <c r="AD58" s="1236" t="s">
        <v>1181</v>
      </c>
      <c r="AF58" s="1236" t="s">
        <v>1632</v>
      </c>
      <c r="AG58" s="1236"/>
    </row>
    <row r="59" spans="1:34" ht="15" customHeight="1">
      <c r="B59" s="384"/>
      <c r="M59" s="145"/>
      <c r="R59" s="387"/>
      <c r="T59" s="386"/>
      <c r="U59" s="386"/>
      <c r="V59" s="386"/>
      <c r="W59" s="386"/>
      <c r="X59" s="386"/>
      <c r="AH59" s="385">
        <v>137826085.90817404</v>
      </c>
    </row>
    <row r="60" spans="1:34" ht="15" customHeight="1">
      <c r="B60" s="384"/>
      <c r="L60" s="145"/>
      <c r="M60" s="145"/>
      <c r="R60" s="387"/>
      <c r="T60" s="368"/>
      <c r="U60" s="368"/>
      <c r="V60" s="368"/>
      <c r="W60" s="368"/>
      <c r="X60" s="368"/>
      <c r="AH60" s="1325">
        <v>21265893.265523002</v>
      </c>
    </row>
    <row r="61" spans="1:34" ht="15" customHeight="1">
      <c r="B61" s="384"/>
      <c r="L61" s="388"/>
      <c r="M61" s="145"/>
      <c r="R61" s="387"/>
      <c r="T61" s="368"/>
      <c r="U61" s="368"/>
      <c r="V61" s="368"/>
      <c r="W61" s="368"/>
      <c r="X61" s="368"/>
      <c r="AH61" s="1325">
        <v>-186586.79252164182</v>
      </c>
    </row>
    <row r="62" spans="1:34" ht="15" customHeight="1">
      <c r="B62" s="384"/>
      <c r="L62" s="388"/>
      <c r="M62" s="145"/>
      <c r="R62" s="389"/>
      <c r="T62" s="368"/>
      <c r="U62" s="131"/>
      <c r="V62" s="131"/>
      <c r="W62" s="131"/>
      <c r="X62" s="131"/>
      <c r="AD62" s="385"/>
      <c r="AE62" s="385"/>
      <c r="AF62" s="385"/>
      <c r="AH62" s="385">
        <v>158905392.3811754</v>
      </c>
    </row>
    <row r="63" spans="1:34" ht="15" customHeight="1">
      <c r="B63" s="384"/>
      <c r="L63" s="388"/>
      <c r="M63" s="145"/>
      <c r="R63" s="387"/>
      <c r="T63" s="131"/>
      <c r="U63" s="131"/>
      <c r="V63" s="131"/>
      <c r="W63" s="131"/>
      <c r="X63" s="131"/>
    </row>
    <row r="64" spans="1:34" ht="15" customHeight="1">
      <c r="B64" s="384"/>
      <c r="L64" s="388"/>
      <c r="M64" s="145"/>
      <c r="R64" s="387"/>
      <c r="T64" s="131"/>
      <c r="U64" s="131"/>
      <c r="V64" s="131"/>
      <c r="W64" s="131"/>
      <c r="X64" s="131"/>
      <c r="AE64" s="385"/>
    </row>
    <row r="65" spans="2:24" ht="15" customHeight="1">
      <c r="B65" s="384"/>
      <c r="L65" s="388"/>
      <c r="M65" s="145"/>
      <c r="R65" s="387"/>
      <c r="T65" s="131"/>
      <c r="U65" s="131"/>
      <c r="V65" s="131"/>
      <c r="W65" s="131"/>
      <c r="X65" s="131"/>
    </row>
    <row r="66" spans="2:24" ht="15" customHeight="1">
      <c r="B66" s="384"/>
      <c r="L66" s="388"/>
      <c r="M66" s="145"/>
      <c r="R66" s="387"/>
      <c r="T66" s="342"/>
      <c r="U66" s="131"/>
      <c r="V66" s="131"/>
      <c r="W66" s="131"/>
      <c r="X66" s="131"/>
    </row>
    <row r="67" spans="2:24" ht="15" customHeight="1">
      <c r="L67" s="388"/>
      <c r="M67" s="145"/>
      <c r="T67" s="342"/>
      <c r="U67" s="342"/>
      <c r="V67" s="342"/>
    </row>
    <row r="68" spans="2:24" ht="15" customHeight="1">
      <c r="L68" s="388"/>
      <c r="M68" s="145"/>
      <c r="R68" s="387"/>
      <c r="T68" s="342"/>
      <c r="U68" s="342"/>
      <c r="V68" s="342"/>
    </row>
    <row r="69" spans="2:24" ht="15" customHeight="1">
      <c r="L69" s="388"/>
      <c r="M69" s="145"/>
      <c r="R69" s="387"/>
      <c r="T69" s="342"/>
      <c r="U69" s="342"/>
      <c r="V69" s="342"/>
    </row>
    <row r="70" spans="2:24" ht="15" customHeight="1">
      <c r="L70" s="388"/>
      <c r="M70" s="145"/>
      <c r="T70" s="342"/>
      <c r="U70" s="342"/>
      <c r="V70" s="342"/>
    </row>
    <row r="71" spans="2:24" ht="15" customHeight="1">
      <c r="L71" s="388"/>
      <c r="M71" s="145"/>
      <c r="T71" s="342"/>
      <c r="U71" s="342"/>
      <c r="V71" s="342"/>
    </row>
    <row r="72" spans="2:24" ht="15" customHeight="1">
      <c r="L72" s="388"/>
      <c r="M72" s="145"/>
    </row>
    <row r="73" spans="2:24" ht="15" customHeight="1">
      <c r="L73" s="388"/>
      <c r="M73" s="145"/>
      <c r="T73" s="342"/>
      <c r="U73" s="342"/>
      <c r="V73" s="342"/>
    </row>
    <row r="74" spans="2:24" ht="15" customHeight="1">
      <c r="L74" s="388"/>
      <c r="M74" s="145"/>
      <c r="T74" s="342"/>
      <c r="U74" s="342"/>
      <c r="V74" s="342"/>
    </row>
    <row r="75" spans="2:24" ht="15" customHeight="1">
      <c r="L75" s="388"/>
      <c r="M75" s="145"/>
    </row>
    <row r="76" spans="2:24" ht="15" customHeight="1">
      <c r="L76" s="388"/>
      <c r="M76" s="145"/>
      <c r="T76" s="342"/>
      <c r="U76" s="342"/>
      <c r="V76" s="342"/>
    </row>
    <row r="77" spans="2:24" ht="15" customHeight="1">
      <c r="B77" s="390"/>
      <c r="L77" s="388"/>
      <c r="M77" s="145"/>
    </row>
    <row r="78" spans="2:24" ht="15" customHeight="1">
      <c r="L78" s="384"/>
      <c r="M78" s="145"/>
    </row>
    <row r="79" spans="2:24" ht="15" customHeight="1">
      <c r="B79" s="391"/>
      <c r="C79" s="149"/>
      <c r="D79" s="149"/>
      <c r="E79" s="149"/>
      <c r="F79" s="1256"/>
      <c r="G79" s="1256"/>
      <c r="H79" s="1256"/>
      <c r="I79" s="149"/>
      <c r="J79" s="149"/>
      <c r="K79" s="149"/>
      <c r="L79" s="384"/>
      <c r="M79" s="145"/>
    </row>
    <row r="80" spans="2:24" ht="15" customHeight="1">
      <c r="L80" s="384"/>
      <c r="M80" s="145"/>
    </row>
    <row r="81" spans="2:13" ht="15" customHeight="1">
      <c r="L81" s="314"/>
      <c r="M81" s="145"/>
    </row>
    <row r="82" spans="2:13" ht="15" customHeight="1">
      <c r="B82" s="391"/>
      <c r="C82" s="149"/>
      <c r="D82" s="149"/>
      <c r="E82" s="149"/>
      <c r="F82" s="1256"/>
      <c r="G82" s="1256"/>
      <c r="H82" s="1256"/>
      <c r="I82" s="149"/>
      <c r="J82" s="149"/>
      <c r="K82" s="149"/>
      <c r="L82" s="392"/>
      <c r="M82" s="145"/>
    </row>
    <row r="83" spans="2:13" ht="15" customHeight="1">
      <c r="M83" s="145"/>
    </row>
    <row r="84" spans="2:13" ht="15" customHeight="1">
      <c r="M84" s="145"/>
    </row>
    <row r="85" spans="2:13" ht="15" customHeight="1">
      <c r="M85" s="145"/>
    </row>
    <row r="86" spans="2:13" ht="15" customHeight="1">
      <c r="M86" s="145"/>
    </row>
    <row r="87" spans="2:13" ht="15" customHeight="1">
      <c r="M87" s="145"/>
    </row>
    <row r="88" spans="2:13" ht="15" customHeight="1">
      <c r="M88" s="145"/>
    </row>
    <row r="89" spans="2:13" ht="15" customHeight="1">
      <c r="M89" s="145"/>
    </row>
    <row r="90" spans="2:13" ht="15" customHeight="1">
      <c r="M90" s="145"/>
    </row>
    <row r="91" spans="2:13" ht="15" customHeight="1">
      <c r="M91" s="145"/>
    </row>
    <row r="92" spans="2:13" ht="15" customHeight="1">
      <c r="M92" s="145"/>
    </row>
    <row r="93" spans="2:13" ht="15" customHeight="1">
      <c r="M93" s="145"/>
    </row>
    <row r="94" spans="2:13" ht="15" customHeight="1">
      <c r="M94" s="145"/>
    </row>
    <row r="95" spans="2:13" ht="15" customHeight="1">
      <c r="M95" s="145"/>
    </row>
    <row r="96" spans="2:13" ht="15" customHeight="1">
      <c r="M96" s="145"/>
    </row>
    <row r="97" spans="13:13" ht="15" customHeight="1">
      <c r="M97" s="145"/>
    </row>
    <row r="98" spans="13:13" ht="15" customHeight="1">
      <c r="M98" s="145"/>
    </row>
    <row r="99" spans="13:13" ht="15" customHeight="1">
      <c r="M99" s="145"/>
    </row>
    <row r="100" spans="13:13" ht="15" customHeight="1">
      <c r="M100" s="145"/>
    </row>
    <row r="101" spans="13:13" ht="15" customHeight="1">
      <c r="M101" s="145"/>
    </row>
    <row r="102" spans="13:13" ht="15" customHeight="1">
      <c r="M102" s="145"/>
    </row>
    <row r="103" spans="13:13" ht="15" customHeight="1">
      <c r="M103" s="145"/>
    </row>
    <row r="104" spans="13:13" ht="15" customHeight="1">
      <c r="M104" s="145"/>
    </row>
    <row r="105" spans="13:13" ht="15" customHeight="1">
      <c r="M105" s="145"/>
    </row>
    <row r="106" spans="13:13" ht="15" customHeight="1">
      <c r="M106" s="145"/>
    </row>
    <row r="107" spans="13:13" ht="15" customHeight="1">
      <c r="M107" s="145"/>
    </row>
    <row r="108" spans="13:13" ht="15" customHeight="1">
      <c r="M108" s="145"/>
    </row>
    <row r="109" spans="13:13" ht="15" customHeight="1">
      <c r="M109" s="145"/>
    </row>
    <row r="110" spans="13:13" ht="15" customHeight="1">
      <c r="M110" s="145"/>
    </row>
    <row r="111" spans="13:13" ht="15" customHeight="1">
      <c r="M111" s="145"/>
    </row>
    <row r="112" spans="13:13" ht="15" customHeight="1">
      <c r="M112" s="145"/>
    </row>
    <row r="113" spans="13:13" ht="15" customHeight="1">
      <c r="M113" s="145"/>
    </row>
    <row r="114" spans="13:13" ht="15" customHeight="1">
      <c r="M114" s="145"/>
    </row>
    <row r="115" spans="13:13" ht="15" customHeight="1">
      <c r="M115" s="145"/>
    </row>
    <row r="116" spans="13:13" ht="15" customHeight="1">
      <c r="M116" s="145"/>
    </row>
    <row r="117" spans="13:13" ht="15" customHeight="1">
      <c r="M117" s="145"/>
    </row>
    <row r="118" spans="13:13" ht="15" customHeight="1">
      <c r="M118" s="145"/>
    </row>
    <row r="119" spans="13:13" ht="15" customHeight="1">
      <c r="M119" s="145"/>
    </row>
    <row r="120" spans="13:13" ht="15" customHeight="1">
      <c r="M120" s="145"/>
    </row>
    <row r="121" spans="13:13" ht="15" customHeight="1">
      <c r="M121" s="145"/>
    </row>
    <row r="122" spans="13:13" ht="15" customHeight="1">
      <c r="M122" s="145"/>
    </row>
    <row r="123" spans="13:13" ht="15" customHeight="1">
      <c r="M123" s="145"/>
    </row>
    <row r="124" spans="13:13" ht="15" customHeight="1">
      <c r="M124" s="145"/>
    </row>
    <row r="125" spans="13:13" ht="15" customHeight="1">
      <c r="M125" s="145"/>
    </row>
    <row r="126" spans="13:13" ht="15" customHeight="1">
      <c r="M126" s="145"/>
    </row>
    <row r="127" spans="13:13" ht="15" customHeight="1">
      <c r="M127" s="145"/>
    </row>
    <row r="128" spans="13:13" ht="15" customHeight="1">
      <c r="M128" s="145"/>
    </row>
    <row r="129" spans="13:13" ht="15" customHeight="1">
      <c r="M129" s="145"/>
    </row>
    <row r="130" spans="13:13" ht="15" customHeight="1">
      <c r="M130" s="145"/>
    </row>
    <row r="131" spans="13:13" ht="15" customHeight="1">
      <c r="M131" s="145"/>
    </row>
    <row r="132" spans="13:13" ht="15" customHeight="1">
      <c r="M132" s="145"/>
    </row>
    <row r="133" spans="13:13" ht="15" customHeight="1">
      <c r="M133" s="145"/>
    </row>
    <row r="134" spans="13:13" ht="15" customHeight="1">
      <c r="M134" s="145"/>
    </row>
    <row r="135" spans="13:13" ht="15" customHeight="1">
      <c r="M135" s="145"/>
    </row>
    <row r="136" spans="13:13" ht="15" customHeight="1">
      <c r="M136" s="145"/>
    </row>
    <row r="137" spans="13:13" ht="15" customHeight="1">
      <c r="M137" s="145"/>
    </row>
    <row r="138" spans="13:13" ht="15" customHeight="1">
      <c r="M138" s="145"/>
    </row>
    <row r="139" spans="13:13" ht="15" customHeight="1">
      <c r="M139" s="145"/>
    </row>
    <row r="140" spans="13:13" ht="15" customHeight="1">
      <c r="M140" s="145"/>
    </row>
    <row r="141" spans="13:13" ht="15" customHeight="1">
      <c r="M141" s="145"/>
    </row>
    <row r="142" spans="13:13" ht="15" customHeight="1">
      <c r="M142" s="145"/>
    </row>
    <row r="143" spans="13:13" ht="15" customHeight="1">
      <c r="M143" s="145"/>
    </row>
    <row r="144" spans="13:13" ht="15" customHeight="1">
      <c r="M144" s="145"/>
    </row>
    <row r="145" spans="13:13" ht="15" customHeight="1">
      <c r="M145" s="145"/>
    </row>
    <row r="146" spans="13:13" ht="15" customHeight="1">
      <c r="M146" s="145"/>
    </row>
    <row r="147" spans="13:13" ht="15" customHeight="1">
      <c r="M147" s="145"/>
    </row>
    <row r="148" spans="13:13" ht="15" customHeight="1">
      <c r="M148" s="145"/>
    </row>
    <row r="149" spans="13:13" ht="15" customHeight="1">
      <c r="M149" s="145"/>
    </row>
    <row r="150" spans="13:13" ht="15" customHeight="1">
      <c r="M150" s="145"/>
    </row>
    <row r="151" spans="13:13" ht="15" customHeight="1">
      <c r="M151" s="145"/>
    </row>
    <row r="152" spans="13:13" ht="15" customHeight="1">
      <c r="M152" s="145"/>
    </row>
    <row r="153" spans="13:13" ht="15" customHeight="1">
      <c r="M153" s="145"/>
    </row>
    <row r="154" spans="13:13" ht="15" customHeight="1">
      <c r="M154" s="145"/>
    </row>
    <row r="155" spans="13:13" ht="15" customHeight="1">
      <c r="M155" s="145"/>
    </row>
    <row r="156" spans="13:13" ht="15" customHeight="1">
      <c r="M156" s="145"/>
    </row>
    <row r="157" spans="13:13" ht="15" customHeight="1">
      <c r="M157" s="145"/>
    </row>
    <row r="158" spans="13:13" ht="15" customHeight="1">
      <c r="M158" s="145"/>
    </row>
    <row r="159" spans="13:13" ht="15" customHeight="1">
      <c r="M159" s="145"/>
    </row>
    <row r="160" spans="13:13" ht="15" customHeight="1">
      <c r="M160" s="145"/>
    </row>
    <row r="161" spans="13:13" ht="15" customHeight="1">
      <c r="M161" s="145"/>
    </row>
    <row r="162" spans="13:13" ht="15" customHeight="1">
      <c r="M162" s="145"/>
    </row>
    <row r="163" spans="13:13" ht="15" customHeight="1">
      <c r="M163" s="145"/>
    </row>
    <row r="164" spans="13:13" ht="15" customHeight="1">
      <c r="M164" s="145"/>
    </row>
    <row r="165" spans="13:13" ht="15" customHeight="1">
      <c r="M165" s="145"/>
    </row>
    <row r="166" spans="13:13" ht="15" customHeight="1">
      <c r="M166" s="145"/>
    </row>
    <row r="167" spans="13:13" ht="15" customHeight="1">
      <c r="M167" s="145"/>
    </row>
    <row r="168" spans="13:13" ht="15" customHeight="1">
      <c r="M168" s="145"/>
    </row>
    <row r="169" spans="13:13" ht="15" customHeight="1">
      <c r="M169" s="145"/>
    </row>
    <row r="170" spans="13:13" ht="15" customHeight="1">
      <c r="M170" s="145"/>
    </row>
    <row r="171" spans="13:13" ht="15" customHeight="1">
      <c r="M171" s="145"/>
    </row>
    <row r="172" spans="13:13" ht="15" customHeight="1">
      <c r="M172" s="145"/>
    </row>
    <row r="173" spans="13:13" ht="15" customHeight="1">
      <c r="M173" s="145"/>
    </row>
    <row r="174" spans="13:13" ht="15" customHeight="1">
      <c r="M174" s="145"/>
    </row>
    <row r="175" spans="13:13" ht="15" customHeight="1">
      <c r="M175" s="145"/>
    </row>
    <row r="176" spans="13:13" ht="15" customHeight="1">
      <c r="M176" s="145"/>
    </row>
    <row r="177" spans="13:13" ht="15" customHeight="1">
      <c r="M177" s="145"/>
    </row>
    <row r="178" spans="13:13" ht="15" customHeight="1">
      <c r="M178" s="145"/>
    </row>
    <row r="179" spans="13:13" ht="15" customHeight="1">
      <c r="M179" s="145"/>
    </row>
    <row r="180" spans="13:13" ht="15" customHeight="1">
      <c r="M180" s="145"/>
    </row>
    <row r="181" spans="13:13" ht="15" customHeight="1">
      <c r="M181" s="145"/>
    </row>
    <row r="182" spans="13:13" ht="15" customHeight="1">
      <c r="M182" s="145"/>
    </row>
    <row r="183" spans="13:13" ht="15" customHeight="1">
      <c r="M183" s="145"/>
    </row>
    <row r="184" spans="13:13" ht="15" customHeight="1">
      <c r="M184" s="145"/>
    </row>
    <row r="185" spans="13:13" ht="15" customHeight="1">
      <c r="M185" s="145"/>
    </row>
    <row r="186" spans="13:13" ht="15" customHeight="1">
      <c r="M186" s="145"/>
    </row>
    <row r="187" spans="13:13" ht="15" customHeight="1">
      <c r="M187" s="145"/>
    </row>
    <row r="188" spans="13:13" ht="15" customHeight="1">
      <c r="M188" s="145"/>
    </row>
    <row r="189" spans="13:13" ht="15" customHeight="1">
      <c r="M189" s="145"/>
    </row>
    <row r="190" spans="13:13" ht="15" customHeight="1">
      <c r="M190" s="145"/>
    </row>
    <row r="191" spans="13:13" ht="15" customHeight="1">
      <c r="M191" s="145"/>
    </row>
    <row r="192" spans="13:13" ht="15" customHeight="1">
      <c r="M192" s="145"/>
    </row>
    <row r="193" spans="13:13" ht="15" customHeight="1">
      <c r="M193" s="145"/>
    </row>
    <row r="194" spans="13:13" ht="15" customHeight="1">
      <c r="M194" s="145"/>
    </row>
    <row r="195" spans="13:13" ht="15" customHeight="1">
      <c r="M195" s="145"/>
    </row>
    <row r="196" spans="13:13" ht="15" customHeight="1">
      <c r="M196" s="145"/>
    </row>
    <row r="197" spans="13:13" ht="15" customHeight="1">
      <c r="M197" s="145"/>
    </row>
    <row r="198" spans="13:13" ht="15" customHeight="1">
      <c r="M198" s="145"/>
    </row>
    <row r="199" spans="13:13" ht="15" customHeight="1">
      <c r="M199" s="145"/>
    </row>
    <row r="200" spans="13:13" ht="15" customHeight="1">
      <c r="M200" s="145"/>
    </row>
    <row r="201" spans="13:13" ht="15" customHeight="1">
      <c r="M201" s="145"/>
    </row>
    <row r="202" spans="13:13" ht="15" customHeight="1">
      <c r="M202" s="145"/>
    </row>
    <row r="203" spans="13:13" ht="15" customHeight="1">
      <c r="M203" s="145"/>
    </row>
    <row r="204" spans="13:13" ht="15" customHeight="1">
      <c r="M204" s="145"/>
    </row>
    <row r="205" spans="13:13" ht="15" customHeight="1">
      <c r="M205" s="145"/>
    </row>
    <row r="206" spans="13:13" ht="15" customHeight="1">
      <c r="M206" s="145"/>
    </row>
    <row r="207" spans="13:13" ht="15" customHeight="1">
      <c r="M207" s="145"/>
    </row>
    <row r="208" spans="13:13" ht="15" customHeight="1">
      <c r="M208" s="145"/>
    </row>
    <row r="209" spans="13:13" ht="15" customHeight="1">
      <c r="M209" s="145"/>
    </row>
    <row r="210" spans="13:13" ht="15" customHeight="1">
      <c r="M210" s="145"/>
    </row>
    <row r="211" spans="13:13" ht="15" customHeight="1">
      <c r="M211" s="145"/>
    </row>
    <row r="212" spans="13:13" ht="15" customHeight="1">
      <c r="M212" s="145"/>
    </row>
    <row r="213" spans="13:13" ht="15" customHeight="1">
      <c r="M213" s="145"/>
    </row>
    <row r="214" spans="13:13" ht="15" customHeight="1">
      <c r="M214" s="145"/>
    </row>
    <row r="215" spans="13:13" ht="15" customHeight="1">
      <c r="M215" s="145"/>
    </row>
    <row r="216" spans="13:13" ht="15" customHeight="1">
      <c r="M216" s="145"/>
    </row>
    <row r="217" spans="13:13" ht="15" customHeight="1">
      <c r="M217" s="145"/>
    </row>
    <row r="218" spans="13:13" ht="15" customHeight="1">
      <c r="M218" s="145"/>
    </row>
    <row r="219" spans="13:13" ht="15" customHeight="1">
      <c r="M219" s="145"/>
    </row>
    <row r="220" spans="13:13" ht="15" customHeight="1">
      <c r="M220" s="145"/>
    </row>
    <row r="221" spans="13:13" ht="15" customHeight="1">
      <c r="M221" s="145"/>
    </row>
    <row r="222" spans="13:13" ht="15" customHeight="1">
      <c r="M222" s="145"/>
    </row>
    <row r="223" spans="13:13" ht="15" customHeight="1">
      <c r="M223" s="145"/>
    </row>
    <row r="224" spans="13:13" ht="15" customHeight="1">
      <c r="M224" s="145"/>
    </row>
    <row r="225" spans="13:13" ht="15" customHeight="1">
      <c r="M225" s="145"/>
    </row>
    <row r="226" spans="13:13" ht="15" customHeight="1">
      <c r="M226" s="145"/>
    </row>
    <row r="227" spans="13:13" ht="15" customHeight="1">
      <c r="M227" s="145"/>
    </row>
    <row r="228" spans="13:13" ht="15" customHeight="1">
      <c r="M228" s="145"/>
    </row>
    <row r="229" spans="13:13" ht="15" customHeight="1">
      <c r="M229" s="145"/>
    </row>
    <row r="230" spans="13:13" ht="15" customHeight="1">
      <c r="M230" s="145"/>
    </row>
    <row r="231" spans="13:13" ht="15" customHeight="1">
      <c r="M231" s="145"/>
    </row>
    <row r="232" spans="13:13" ht="15" customHeight="1">
      <c r="M232" s="145"/>
    </row>
    <row r="233" spans="13:13" ht="15" customHeight="1">
      <c r="M233" s="145"/>
    </row>
    <row r="234" spans="13:13" ht="15" customHeight="1">
      <c r="M234" s="145"/>
    </row>
    <row r="235" spans="13:13" ht="15" customHeight="1">
      <c r="M235" s="145"/>
    </row>
    <row r="236" spans="13:13" ht="15" customHeight="1">
      <c r="M236" s="145"/>
    </row>
    <row r="237" spans="13:13" ht="15" customHeight="1">
      <c r="M237" s="145"/>
    </row>
    <row r="238" spans="13:13" ht="15" customHeight="1">
      <c r="M238" s="145"/>
    </row>
    <row r="239" spans="13:13" ht="15" customHeight="1">
      <c r="M239" s="145"/>
    </row>
    <row r="240" spans="13:13" ht="15" customHeight="1">
      <c r="M240" s="145"/>
    </row>
    <row r="241" spans="13:13" ht="15" customHeight="1">
      <c r="M241" s="145"/>
    </row>
    <row r="242" spans="13:13" ht="15" customHeight="1">
      <c r="M242" s="145"/>
    </row>
    <row r="243" spans="13:13" ht="15" customHeight="1">
      <c r="M243" s="145"/>
    </row>
    <row r="244" spans="13:13" ht="15" customHeight="1">
      <c r="M244" s="145"/>
    </row>
    <row r="245" spans="13:13" ht="15" customHeight="1">
      <c r="M245" s="145"/>
    </row>
    <row r="246" spans="13:13" ht="15" customHeight="1">
      <c r="M246" s="145"/>
    </row>
    <row r="247" spans="13:13" ht="15" customHeight="1">
      <c r="M247" s="145"/>
    </row>
    <row r="248" spans="13:13" ht="15" customHeight="1">
      <c r="M248" s="145"/>
    </row>
    <row r="249" spans="13:13" ht="15" customHeight="1">
      <c r="M249" s="145"/>
    </row>
    <row r="250" spans="13:13" ht="15" customHeight="1">
      <c r="M250" s="145"/>
    </row>
    <row r="251" spans="13:13" ht="15" customHeight="1">
      <c r="M251" s="145"/>
    </row>
    <row r="252" spans="13:13" ht="15" customHeight="1">
      <c r="M252" s="145"/>
    </row>
    <row r="253" spans="13:13" ht="15" customHeight="1">
      <c r="M253" s="145"/>
    </row>
    <row r="254" spans="13:13" ht="15" customHeight="1">
      <c r="M254" s="145"/>
    </row>
    <row r="255" spans="13:13" ht="15" customHeight="1">
      <c r="M255" s="145"/>
    </row>
    <row r="256" spans="13:13" ht="15" customHeight="1">
      <c r="M256" s="145"/>
    </row>
    <row r="257" spans="13:13" ht="15" customHeight="1">
      <c r="M257" s="145"/>
    </row>
    <row r="258" spans="13:13" ht="15" customHeight="1">
      <c r="M258" s="145"/>
    </row>
    <row r="259" spans="13:13" ht="15" customHeight="1">
      <c r="M259" s="145"/>
    </row>
    <row r="260" spans="13:13" ht="15" customHeight="1">
      <c r="M260" s="145"/>
    </row>
    <row r="261" spans="13:13" ht="15" customHeight="1">
      <c r="M261" s="145"/>
    </row>
    <row r="262" spans="13:13" ht="15" customHeight="1">
      <c r="M262" s="145"/>
    </row>
    <row r="263" spans="13:13" ht="15" customHeight="1">
      <c r="M263" s="145"/>
    </row>
    <row r="264" spans="13:13" ht="15" customHeight="1">
      <c r="M264" s="145"/>
    </row>
    <row r="265" spans="13:13" ht="15" customHeight="1">
      <c r="M265" s="145"/>
    </row>
    <row r="266" spans="13:13" ht="15" customHeight="1">
      <c r="M266" s="145"/>
    </row>
    <row r="267" spans="13:13" ht="15" customHeight="1">
      <c r="M267" s="145"/>
    </row>
    <row r="268" spans="13:13" ht="15" customHeight="1">
      <c r="M268" s="145"/>
    </row>
    <row r="269" spans="13:13" ht="15" customHeight="1">
      <c r="M269" s="145"/>
    </row>
    <row r="270" spans="13:13" ht="15" customHeight="1">
      <c r="M270" s="145"/>
    </row>
    <row r="271" spans="13:13" ht="15" customHeight="1">
      <c r="M271" s="145"/>
    </row>
    <row r="272" spans="13:13" ht="15" customHeight="1">
      <c r="M272" s="145"/>
    </row>
    <row r="273" spans="13:13" ht="15" customHeight="1">
      <c r="M273" s="145"/>
    </row>
    <row r="274" spans="13:13" ht="15" customHeight="1">
      <c r="M274" s="145"/>
    </row>
    <row r="275" spans="13:13" ht="15" customHeight="1">
      <c r="M275" s="145"/>
    </row>
    <row r="276" spans="13:13" ht="15" customHeight="1">
      <c r="M276" s="145"/>
    </row>
    <row r="277" spans="13:13" ht="15" customHeight="1">
      <c r="M277" s="145"/>
    </row>
    <row r="278" spans="13:13" ht="15" customHeight="1">
      <c r="M278" s="145"/>
    </row>
    <row r="279" spans="13:13" ht="15" customHeight="1">
      <c r="M279" s="145"/>
    </row>
    <row r="280" spans="13:13" ht="15" customHeight="1">
      <c r="M280" s="145"/>
    </row>
    <row r="281" spans="13:13" ht="15" customHeight="1">
      <c r="M281" s="145"/>
    </row>
    <row r="282" spans="13:13" ht="15" customHeight="1">
      <c r="M282" s="145"/>
    </row>
    <row r="283" spans="13:13" ht="15" customHeight="1">
      <c r="M283" s="145"/>
    </row>
    <row r="284" spans="13:13" ht="15" customHeight="1">
      <c r="M284" s="145"/>
    </row>
    <row r="285" spans="13:13" ht="15" customHeight="1">
      <c r="M285" s="145"/>
    </row>
    <row r="286" spans="13:13" ht="15" customHeight="1">
      <c r="M286" s="145"/>
    </row>
    <row r="287" spans="13:13" ht="15" customHeight="1">
      <c r="M287" s="145"/>
    </row>
    <row r="288" spans="13:13" ht="15" customHeight="1">
      <c r="M288" s="145"/>
    </row>
    <row r="289" spans="13:13" ht="15" customHeight="1">
      <c r="M289" s="145"/>
    </row>
    <row r="290" spans="13:13" ht="15" customHeight="1">
      <c r="M290" s="145"/>
    </row>
    <row r="291" spans="13:13" ht="15" customHeight="1">
      <c r="M291" s="145"/>
    </row>
    <row r="292" spans="13:13" ht="15" customHeight="1">
      <c r="M292" s="145"/>
    </row>
    <row r="293" spans="13:13" ht="15" customHeight="1">
      <c r="M293" s="145"/>
    </row>
    <row r="294" spans="13:13" ht="15" customHeight="1">
      <c r="M294" s="145"/>
    </row>
    <row r="295" spans="13:13" ht="15" customHeight="1">
      <c r="M295" s="145"/>
    </row>
    <row r="296" spans="13:13" ht="15" customHeight="1">
      <c r="M296" s="145"/>
    </row>
    <row r="297" spans="13:13" ht="15" customHeight="1">
      <c r="M297" s="145"/>
    </row>
    <row r="298" spans="13:13" ht="15" customHeight="1">
      <c r="M298" s="145"/>
    </row>
    <row r="299" spans="13:13" ht="15" customHeight="1">
      <c r="M299" s="145"/>
    </row>
    <row r="300" spans="13:13" ht="15" customHeight="1">
      <c r="M300" s="145"/>
    </row>
    <row r="301" spans="13:13" ht="15" customHeight="1">
      <c r="M301" s="145"/>
    </row>
    <row r="302" spans="13:13" ht="15" customHeight="1">
      <c r="M302" s="145"/>
    </row>
    <row r="303" spans="13:13" ht="15" customHeight="1">
      <c r="M303" s="145"/>
    </row>
    <row r="304" spans="13:13" ht="15" customHeight="1">
      <c r="M304" s="145"/>
    </row>
    <row r="305" spans="13:13" ht="15" customHeight="1">
      <c r="M305" s="145"/>
    </row>
    <row r="306" spans="13:13" ht="15" customHeight="1">
      <c r="M306" s="145"/>
    </row>
    <row r="307" spans="13:13" ht="15" customHeight="1">
      <c r="M307" s="145"/>
    </row>
    <row r="308" spans="13:13" ht="15" customHeight="1">
      <c r="M308" s="145"/>
    </row>
    <row r="309" spans="13:13" ht="15" customHeight="1">
      <c r="M309" s="145"/>
    </row>
    <row r="310" spans="13:13" ht="15" customHeight="1">
      <c r="M310" s="145"/>
    </row>
    <row r="311" spans="13:13" ht="15" customHeight="1">
      <c r="M311" s="145"/>
    </row>
    <row r="312" spans="13:13" ht="15" customHeight="1">
      <c r="M312" s="145"/>
    </row>
    <row r="313" spans="13:13" ht="15" customHeight="1">
      <c r="M313" s="145"/>
    </row>
    <row r="314" spans="13:13" ht="15" customHeight="1">
      <c r="M314" s="145"/>
    </row>
    <row r="315" spans="13:13" ht="15" customHeight="1">
      <c r="M315" s="145"/>
    </row>
    <row r="316" spans="13:13" ht="15" customHeight="1">
      <c r="M316" s="145"/>
    </row>
    <row r="317" spans="13:13" ht="15" customHeight="1">
      <c r="M317" s="145"/>
    </row>
    <row r="318" spans="13:13" ht="15" customHeight="1">
      <c r="M318" s="145"/>
    </row>
    <row r="319" spans="13:13" ht="15" customHeight="1">
      <c r="M319" s="145"/>
    </row>
    <row r="320" spans="13:13" ht="15" customHeight="1">
      <c r="M320" s="145"/>
    </row>
    <row r="321" spans="13:13" ht="15" customHeight="1">
      <c r="M321" s="145"/>
    </row>
    <row r="322" spans="13:13" ht="15" customHeight="1">
      <c r="M322" s="145"/>
    </row>
    <row r="323" spans="13:13" ht="15" customHeight="1">
      <c r="M323" s="145"/>
    </row>
    <row r="324" spans="13:13" ht="15" customHeight="1">
      <c r="M324" s="145"/>
    </row>
    <row r="325" spans="13:13" ht="15" customHeight="1">
      <c r="M325" s="145"/>
    </row>
    <row r="326" spans="13:13" ht="15" customHeight="1">
      <c r="M326" s="145"/>
    </row>
    <row r="327" spans="13:13" ht="15" customHeight="1">
      <c r="M327" s="145"/>
    </row>
    <row r="328" spans="13:13" ht="15" customHeight="1">
      <c r="M328" s="145"/>
    </row>
    <row r="329" spans="13:13" ht="15" customHeight="1">
      <c r="M329" s="145"/>
    </row>
    <row r="330" spans="13:13" ht="15" customHeight="1">
      <c r="M330" s="145"/>
    </row>
    <row r="331" spans="13:13" ht="15" customHeight="1">
      <c r="M331" s="145"/>
    </row>
    <row r="332" spans="13:13" ht="15" customHeight="1">
      <c r="M332" s="145"/>
    </row>
    <row r="333" spans="13:13" ht="15" customHeight="1">
      <c r="M333" s="145"/>
    </row>
    <row r="334" spans="13:13" ht="15" customHeight="1">
      <c r="M334" s="145"/>
    </row>
    <row r="335" spans="13:13" ht="15" customHeight="1">
      <c r="M335" s="145"/>
    </row>
    <row r="336" spans="13:13" ht="15" customHeight="1">
      <c r="M336" s="145"/>
    </row>
    <row r="337" spans="13:13" ht="15" customHeight="1">
      <c r="M337" s="145"/>
    </row>
    <row r="338" spans="13:13" ht="15" customHeight="1">
      <c r="M338" s="145"/>
    </row>
    <row r="339" spans="13:13" ht="15" customHeight="1">
      <c r="M339" s="145"/>
    </row>
    <row r="340" spans="13:13" ht="15" customHeight="1">
      <c r="M340" s="145"/>
    </row>
    <row r="341" spans="13:13" ht="15" customHeight="1">
      <c r="M341" s="145"/>
    </row>
    <row r="342" spans="13:13" ht="15" customHeight="1">
      <c r="M342" s="145"/>
    </row>
    <row r="343" spans="13:13" ht="15" customHeight="1">
      <c r="M343" s="145"/>
    </row>
    <row r="344" spans="13:13" ht="15" customHeight="1">
      <c r="M344" s="145"/>
    </row>
    <row r="345" spans="13:13" ht="15" customHeight="1">
      <c r="M345" s="145"/>
    </row>
    <row r="346" spans="13:13" ht="15" customHeight="1">
      <c r="M346" s="145"/>
    </row>
    <row r="347" spans="13:13" ht="15" customHeight="1">
      <c r="M347" s="145"/>
    </row>
    <row r="348" spans="13:13" ht="15" customHeight="1">
      <c r="M348" s="145"/>
    </row>
    <row r="349" spans="13:13" ht="15" customHeight="1">
      <c r="M349" s="145"/>
    </row>
    <row r="350" spans="13:13" ht="15" customHeight="1">
      <c r="M350" s="145"/>
    </row>
    <row r="351" spans="13:13" ht="15" customHeight="1">
      <c r="M351" s="145"/>
    </row>
    <row r="352" spans="13:13" ht="15" customHeight="1">
      <c r="M352" s="145"/>
    </row>
    <row r="353" spans="13:13" ht="15" customHeight="1">
      <c r="M353" s="145"/>
    </row>
    <row r="354" spans="13:13" ht="15" customHeight="1">
      <c r="M354" s="145"/>
    </row>
    <row r="355" spans="13:13" ht="15" customHeight="1">
      <c r="M355" s="145"/>
    </row>
    <row r="356" spans="13:13" ht="15" customHeight="1">
      <c r="M356" s="145"/>
    </row>
    <row r="357" spans="13:13" ht="15" customHeight="1">
      <c r="M357" s="145"/>
    </row>
    <row r="358" spans="13:13" ht="15" customHeight="1">
      <c r="M358" s="145"/>
    </row>
    <row r="359" spans="13:13" ht="15" customHeight="1">
      <c r="M359" s="145"/>
    </row>
    <row r="360" spans="13:13" ht="15" customHeight="1">
      <c r="M360" s="145"/>
    </row>
    <row r="361" spans="13:13" ht="15" customHeight="1">
      <c r="M361" s="145"/>
    </row>
    <row r="362" spans="13:13" ht="15" customHeight="1">
      <c r="M362" s="145"/>
    </row>
    <row r="363" spans="13:13" ht="15" customHeight="1">
      <c r="M363" s="145"/>
    </row>
    <row r="364" spans="13:13" ht="15" customHeight="1">
      <c r="M364" s="145"/>
    </row>
    <row r="365" spans="13:13" ht="15" customHeight="1">
      <c r="M365" s="145"/>
    </row>
    <row r="366" spans="13:13" ht="15" customHeight="1">
      <c r="M366" s="145"/>
    </row>
    <row r="367" spans="13:13" ht="15" customHeight="1">
      <c r="M367" s="145"/>
    </row>
    <row r="368" spans="13:13" ht="15" customHeight="1">
      <c r="M368" s="145"/>
    </row>
    <row r="369" spans="13:13" ht="15" customHeight="1">
      <c r="M369" s="145"/>
    </row>
    <row r="370" spans="13:13" ht="15" customHeight="1">
      <c r="M370" s="145"/>
    </row>
    <row r="371" spans="13:13" ht="15" customHeight="1">
      <c r="M371" s="145"/>
    </row>
    <row r="372" spans="13:13" ht="15" customHeight="1">
      <c r="M372" s="145"/>
    </row>
    <row r="373" spans="13:13" ht="15" customHeight="1">
      <c r="M373" s="145"/>
    </row>
    <row r="374" spans="13:13" ht="15" customHeight="1">
      <c r="M374" s="145"/>
    </row>
    <row r="375" spans="13:13" ht="15" customHeight="1">
      <c r="M375" s="145"/>
    </row>
    <row r="376" spans="13:13" ht="15" customHeight="1">
      <c r="M376" s="145"/>
    </row>
    <row r="377" spans="13:13" ht="15" customHeight="1">
      <c r="M377" s="145"/>
    </row>
    <row r="378" spans="13:13" ht="15" customHeight="1">
      <c r="M378" s="145"/>
    </row>
    <row r="379" spans="13:13" ht="15" customHeight="1">
      <c r="M379" s="145"/>
    </row>
    <row r="380" spans="13:13" ht="15" customHeight="1">
      <c r="M380" s="145"/>
    </row>
    <row r="381" spans="13:13" ht="15" customHeight="1">
      <c r="M381" s="145"/>
    </row>
    <row r="382" spans="13:13" ht="15" customHeight="1">
      <c r="M382" s="145"/>
    </row>
    <row r="383" spans="13:13" ht="15" customHeight="1">
      <c r="M383" s="145"/>
    </row>
    <row r="384" spans="13:13" ht="15" customHeight="1">
      <c r="M384" s="145"/>
    </row>
    <row r="385" spans="13:13" ht="15" customHeight="1">
      <c r="M385" s="145"/>
    </row>
    <row r="386" spans="13:13" ht="15" customHeight="1">
      <c r="M386" s="145"/>
    </row>
    <row r="387" spans="13:13" ht="15" customHeight="1">
      <c r="M387" s="145"/>
    </row>
    <row r="388" spans="13:13" ht="15" customHeight="1">
      <c r="M388" s="145"/>
    </row>
    <row r="389" spans="13:13" ht="15" customHeight="1">
      <c r="M389" s="145"/>
    </row>
    <row r="390" spans="13:13" ht="15" customHeight="1">
      <c r="M390" s="145"/>
    </row>
    <row r="391" spans="13:13" ht="15" customHeight="1">
      <c r="M391" s="145"/>
    </row>
    <row r="392" spans="13:13" ht="15" customHeight="1">
      <c r="M392" s="145"/>
    </row>
  </sheetData>
  <mergeCells count="4">
    <mergeCell ref="A3:AD3"/>
    <mergeCell ref="A2:AD2"/>
    <mergeCell ref="A1:AD1"/>
    <mergeCell ref="A4:AD4"/>
  </mergeCells>
  <phoneticPr fontId="12" type="noConversion"/>
  <pageMargins left="0.5" right="0.5" top="1" bottom="0.5" header="0.5" footer="0.5"/>
  <pageSetup scale="81" orientation="portrait" r:id="rId1"/>
  <headerFooter alignWithMargins="0">
    <oddHeader>&amp;C&amp;"Arial,Bold"&amp;14BEFORE ALLOCATION OF DEFICIT</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AK379"/>
  <sheetViews>
    <sheetView workbookViewId="0">
      <selection sqref="A1:XFD1048576"/>
    </sheetView>
  </sheetViews>
  <sheetFormatPr defaultColWidth="9.28515625" defaultRowHeight="15" customHeight="1"/>
  <cols>
    <col min="1" max="1" width="4.28515625" style="94" customWidth="1"/>
    <col min="2" max="2" width="28.42578125" style="2" customWidth="1"/>
    <col min="3" max="3" width="11.28515625" style="2" hidden="1" customWidth="1"/>
    <col min="4" max="4" width="0.42578125" style="2" hidden="1" customWidth="1"/>
    <col min="5" max="5" width="11.28515625" style="2" hidden="1" customWidth="1"/>
    <col min="6" max="6" width="6.28515625" style="4" hidden="1" customWidth="1"/>
    <col min="7" max="7" width="11.28515625" style="4" hidden="1" customWidth="1"/>
    <col min="8" max="8" width="0.7109375" style="4" hidden="1" customWidth="1"/>
    <col min="9" max="9" width="2.42578125" style="128" hidden="1" customWidth="1"/>
    <col min="10" max="10" width="2.42578125" style="2" hidden="1" customWidth="1"/>
    <col min="11" max="11" width="1.42578125" style="2" hidden="1" customWidth="1"/>
    <col min="12" max="12" width="12.42578125" style="2" hidden="1" customWidth="1"/>
    <col min="13" max="13" width="14.42578125" style="2" hidden="1" customWidth="1"/>
    <col min="14" max="18" width="14.42578125" style="67" hidden="1" customWidth="1"/>
    <col min="19" max="20" width="14" style="2" hidden="1" customWidth="1"/>
    <col min="21" max="22" width="13.42578125" style="2" hidden="1" customWidth="1"/>
    <col min="23" max="23" width="14.7109375" style="2" hidden="1" customWidth="1"/>
    <col min="24" max="25" width="13.7109375" style="2" hidden="1" customWidth="1"/>
    <col min="26" max="26" width="13.7109375" style="660" hidden="1" customWidth="1"/>
    <col min="27" max="27" width="13.28515625" style="2" hidden="1" customWidth="1"/>
    <col min="28" max="28" width="13.28515625" style="2" customWidth="1"/>
    <col min="29" max="29" width="13.28515625" style="128" bestFit="1" customWidth="1"/>
    <col min="30" max="30" width="14.42578125" style="1071" bestFit="1" customWidth="1"/>
    <col min="31" max="31" width="13.7109375" style="2" bestFit="1" customWidth="1"/>
    <col min="32" max="32" width="18.7109375" style="2" customWidth="1"/>
    <col min="33" max="33" width="17" style="2" customWidth="1"/>
    <col min="34" max="34" width="12.28515625" style="2" bestFit="1" customWidth="1"/>
    <col min="35" max="35" width="9.28515625" style="2"/>
    <col min="36" max="36" width="10" style="2" bestFit="1" customWidth="1"/>
    <col min="37" max="37" width="10.42578125" style="2" bestFit="1" customWidth="1"/>
    <col min="38" max="16384" width="9.28515625" style="2"/>
  </cols>
  <sheetData>
    <row r="1" spans="1:33" ht="15" customHeight="1">
      <c r="A1" s="2058" t="s">
        <v>539</v>
      </c>
      <c r="B1" s="2058"/>
      <c r="C1" s="2058"/>
      <c r="D1" s="2058"/>
      <c r="E1" s="2058"/>
      <c r="F1" s="2058"/>
      <c r="G1" s="2058"/>
      <c r="H1" s="2058"/>
      <c r="I1" s="2058"/>
      <c r="J1" s="2058"/>
      <c r="K1" s="2058"/>
      <c r="L1" s="2058"/>
      <c r="M1" s="2058"/>
      <c r="N1" s="2058"/>
      <c r="O1" s="2058"/>
      <c r="P1" s="2058"/>
      <c r="Q1" s="2058"/>
      <c r="R1" s="2058"/>
      <c r="S1" s="2058"/>
      <c r="T1" s="2058"/>
      <c r="U1" s="2058"/>
      <c r="V1" s="2058"/>
      <c r="W1" s="2058"/>
      <c r="X1" s="2058"/>
      <c r="Y1" s="2058"/>
      <c r="Z1" s="2058"/>
      <c r="AA1" s="2058"/>
      <c r="AB1" s="2058"/>
      <c r="AC1" s="2058"/>
      <c r="AD1" s="2"/>
    </row>
    <row r="2" spans="1:33" ht="15" customHeight="1">
      <c r="A2" s="2058" t="s">
        <v>1194</v>
      </c>
      <c r="B2" s="2058"/>
      <c r="C2" s="2058"/>
      <c r="D2" s="2058"/>
      <c r="E2" s="2058"/>
      <c r="F2" s="2058"/>
      <c r="G2" s="2058"/>
      <c r="H2" s="2058"/>
      <c r="I2" s="2058"/>
      <c r="J2" s="2058"/>
      <c r="K2" s="2058"/>
      <c r="L2" s="2058"/>
      <c r="M2" s="2058"/>
      <c r="N2" s="2058"/>
      <c r="O2" s="2058"/>
      <c r="P2" s="2058"/>
      <c r="Q2" s="2058"/>
      <c r="R2" s="2058"/>
      <c r="S2" s="2058"/>
      <c r="T2" s="2058"/>
      <c r="U2" s="2058"/>
      <c r="V2" s="2058"/>
      <c r="W2" s="2058"/>
      <c r="X2" s="2058"/>
      <c r="Y2" s="2058"/>
      <c r="Z2" s="2058"/>
      <c r="AA2" s="2058"/>
      <c r="AB2" s="2058"/>
      <c r="AC2" s="2058"/>
      <c r="AD2" s="2"/>
    </row>
    <row r="3" spans="1:33" ht="15" customHeight="1">
      <c r="A3" s="2059">
        <v>43315.520189930554</v>
      </c>
      <c r="B3" s="2059"/>
      <c r="C3" s="2059"/>
      <c r="D3" s="2059"/>
      <c r="E3" s="2059"/>
      <c r="F3" s="2059"/>
      <c r="G3" s="2059"/>
      <c r="H3" s="2059"/>
      <c r="I3" s="2059"/>
      <c r="J3" s="2059"/>
      <c r="K3" s="2059"/>
      <c r="L3" s="2059"/>
      <c r="M3" s="2059"/>
      <c r="N3" s="2059"/>
      <c r="O3" s="2059"/>
      <c r="P3" s="2059"/>
      <c r="Q3" s="2059"/>
      <c r="R3" s="2059"/>
      <c r="S3" s="2059"/>
      <c r="T3" s="2059"/>
      <c r="U3" s="2059"/>
      <c r="V3" s="2059"/>
      <c r="W3" s="2059"/>
      <c r="X3" s="2059"/>
      <c r="Y3" s="2059"/>
      <c r="Z3" s="2059"/>
      <c r="AA3" s="2059"/>
      <c r="AB3" s="2059"/>
      <c r="AC3" s="2059"/>
      <c r="AD3" s="2"/>
    </row>
    <row r="4" spans="1:33" ht="15" customHeight="1">
      <c r="A4" s="2060" t="s">
        <v>1484</v>
      </c>
      <c r="B4" s="2060"/>
      <c r="C4" s="2060"/>
      <c r="D4" s="2060"/>
      <c r="E4" s="2060"/>
      <c r="F4" s="2060"/>
      <c r="G4" s="2060"/>
      <c r="H4" s="2060"/>
      <c r="I4" s="2060"/>
      <c r="J4" s="2060"/>
      <c r="K4" s="2060"/>
      <c r="L4" s="2060"/>
      <c r="M4" s="2060"/>
      <c r="N4" s="2060"/>
      <c r="O4" s="2060"/>
      <c r="P4" s="2060"/>
      <c r="Q4" s="2060"/>
      <c r="R4" s="2060"/>
      <c r="S4" s="2060"/>
      <c r="T4" s="2060"/>
      <c r="U4" s="2060"/>
      <c r="V4" s="2060"/>
      <c r="W4" s="2060"/>
      <c r="X4" s="2060"/>
      <c r="Y4" s="2060"/>
      <c r="Z4" s="2060"/>
      <c r="AA4" s="2060"/>
      <c r="AB4" s="2060"/>
      <c r="AC4" s="2060"/>
      <c r="AD4" s="2"/>
    </row>
    <row r="5" spans="1:33" ht="15" customHeight="1" thickBot="1">
      <c r="B5" s="95"/>
      <c r="C5" s="95"/>
      <c r="D5" s="95"/>
      <c r="E5" s="95"/>
      <c r="F5" s="95"/>
      <c r="G5" s="95"/>
      <c r="H5" s="95"/>
      <c r="I5" s="96"/>
      <c r="J5" s="97"/>
      <c r="AF5" s="1236"/>
    </row>
    <row r="6" spans="1:33" ht="15" customHeight="1" thickTop="1" thickBot="1">
      <c r="B6" s="98" t="s">
        <v>540</v>
      </c>
      <c r="C6" s="99" t="s">
        <v>540</v>
      </c>
      <c r="D6" s="100"/>
      <c r="E6" s="101" t="s">
        <v>541</v>
      </c>
      <c r="G6" s="102" t="s">
        <v>541</v>
      </c>
      <c r="I6" s="103"/>
      <c r="J6" s="104"/>
      <c r="K6" s="105"/>
      <c r="L6" s="106" t="s">
        <v>542</v>
      </c>
      <c r="M6" s="107" t="s">
        <v>543</v>
      </c>
      <c r="N6" s="108" t="s">
        <v>544</v>
      </c>
      <c r="O6" s="108" t="s">
        <v>544</v>
      </c>
      <c r="P6" s="167" t="s">
        <v>545</v>
      </c>
      <c r="Q6" s="167" t="s">
        <v>545</v>
      </c>
      <c r="R6" s="167" t="s">
        <v>546</v>
      </c>
      <c r="S6" s="109" t="s">
        <v>482</v>
      </c>
      <c r="T6" s="109" t="s">
        <v>483</v>
      </c>
      <c r="U6" s="109" t="s">
        <v>418</v>
      </c>
      <c r="V6" s="167" t="s">
        <v>334</v>
      </c>
      <c r="W6" s="717" t="s">
        <v>282</v>
      </c>
      <c r="X6" s="764" t="s">
        <v>235</v>
      </c>
      <c r="Y6" s="841" t="s">
        <v>19</v>
      </c>
      <c r="Z6" s="926" t="s">
        <v>816</v>
      </c>
      <c r="AA6" s="1007" t="s">
        <v>927</v>
      </c>
      <c r="AB6" s="1432" t="s">
        <v>996</v>
      </c>
      <c r="AC6" s="1440" t="s">
        <v>1015</v>
      </c>
      <c r="AD6" s="1603" t="s">
        <v>1184</v>
      </c>
      <c r="AE6" s="718" t="s">
        <v>1485</v>
      </c>
      <c r="AF6" s="718" t="s">
        <v>1633</v>
      </c>
    </row>
    <row r="7" spans="1:33" ht="15" customHeight="1" thickBot="1">
      <c r="B7" s="1" t="s">
        <v>547</v>
      </c>
      <c r="C7" s="111" t="s">
        <v>548</v>
      </c>
      <c r="D7" s="112"/>
      <c r="E7" s="113" t="s">
        <v>549</v>
      </c>
      <c r="F7" s="114"/>
      <c r="G7" s="115" t="s">
        <v>550</v>
      </c>
      <c r="H7" s="116"/>
      <c r="I7" s="25"/>
      <c r="J7" s="20"/>
      <c r="K7" s="20"/>
      <c r="L7" s="117" t="s">
        <v>520</v>
      </c>
      <c r="M7" s="107" t="s">
        <v>520</v>
      </c>
      <c r="N7" s="109" t="s">
        <v>551</v>
      </c>
      <c r="O7" s="109" t="s">
        <v>520</v>
      </c>
      <c r="P7" s="167" t="s">
        <v>551</v>
      </c>
      <c r="Q7" s="209" t="s">
        <v>520</v>
      </c>
      <c r="R7" s="198" t="s">
        <v>551</v>
      </c>
      <c r="S7" s="198" t="s">
        <v>551</v>
      </c>
      <c r="T7" s="198" t="s">
        <v>551</v>
      </c>
      <c r="U7" s="198" t="s">
        <v>551</v>
      </c>
      <c r="V7" s="198" t="s">
        <v>551</v>
      </c>
      <c r="W7" s="315" t="s">
        <v>551</v>
      </c>
      <c r="X7" s="315" t="s">
        <v>551</v>
      </c>
      <c r="Y7" s="842" t="s">
        <v>551</v>
      </c>
      <c r="Z7" s="927" t="s">
        <v>551</v>
      </c>
      <c r="AA7" s="1008" t="s">
        <v>551</v>
      </c>
      <c r="AB7" s="1433" t="s">
        <v>551</v>
      </c>
      <c r="AC7" s="1441" t="s">
        <v>551</v>
      </c>
      <c r="AD7" s="1604" t="s">
        <v>551</v>
      </c>
      <c r="AE7" s="719" t="s">
        <v>410</v>
      </c>
      <c r="AF7" s="719" t="s">
        <v>410</v>
      </c>
    </row>
    <row r="8" spans="1:33" ht="15" customHeight="1">
      <c r="B8" s="1"/>
      <c r="C8" s="105"/>
      <c r="D8" s="105"/>
      <c r="E8" s="105"/>
      <c r="F8" s="114"/>
      <c r="G8" s="105"/>
      <c r="H8" s="116"/>
      <c r="I8" s="25"/>
      <c r="J8" s="20"/>
      <c r="K8" s="20"/>
      <c r="L8" s="80"/>
      <c r="M8" s="120"/>
      <c r="N8" s="119"/>
      <c r="O8" s="119"/>
      <c r="S8" s="189"/>
      <c r="T8" s="189"/>
      <c r="V8" s="396"/>
      <c r="W8" s="396"/>
      <c r="X8" s="248"/>
      <c r="Y8" s="18"/>
      <c r="Z8" s="928"/>
      <c r="AA8" s="1009"/>
      <c r="AB8" s="1434"/>
      <c r="AC8" s="25"/>
      <c r="AD8" s="1605"/>
      <c r="AE8" s="720"/>
      <c r="AF8" s="720"/>
    </row>
    <row r="9" spans="1:33" s="122" customFormat="1" ht="15" customHeight="1">
      <c r="A9" s="121">
        <v>1</v>
      </c>
      <c r="B9" s="122" t="s">
        <v>978</v>
      </c>
      <c r="C9" s="123">
        <v>69650000</v>
      </c>
      <c r="D9" s="123"/>
      <c r="E9" s="123">
        <v>71902445</v>
      </c>
      <c r="F9" s="123"/>
      <c r="G9" s="123">
        <v>71933553</v>
      </c>
      <c r="H9" s="123"/>
      <c r="I9" s="124"/>
      <c r="L9" s="125">
        <v>76244501.899999991</v>
      </c>
      <c r="M9" s="13">
        <v>76344624</v>
      </c>
      <c r="N9" s="125">
        <v>78229700</v>
      </c>
      <c r="O9" s="125" t="e">
        <v>#REF!</v>
      </c>
      <c r="P9" s="28" t="e">
        <v>#REF!</v>
      </c>
      <c r="Q9" s="28">
        <v>99307347</v>
      </c>
      <c r="R9" s="28" t="e">
        <v>#REF!</v>
      </c>
      <c r="S9" s="190" t="e">
        <v>#REF!</v>
      </c>
      <c r="T9" s="190" t="e">
        <v>#REF!</v>
      </c>
      <c r="U9" s="395" t="e">
        <v>#REF!</v>
      </c>
      <c r="V9" s="395" t="e">
        <v>#REF!</v>
      </c>
      <c r="W9" s="395" t="e">
        <v>#REF!</v>
      </c>
      <c r="X9" s="765" t="e">
        <v>#REF!</v>
      </c>
      <c r="Y9" s="765">
        <v>101852855.523</v>
      </c>
      <c r="Z9" s="1546">
        <v>107075324.112969</v>
      </c>
      <c r="AA9" s="1546">
        <v>114547065.82404806</v>
      </c>
      <c r="AB9" s="1547">
        <v>127063321.19660001</v>
      </c>
      <c r="AC9" s="1598">
        <v>137874340.56004998</v>
      </c>
      <c r="AD9" s="1606">
        <v>146911036.75098103</v>
      </c>
      <c r="AE9" s="721">
        <v>158414170.92858285</v>
      </c>
      <c r="AF9" s="721">
        <v>170501172.17043373</v>
      </c>
      <c r="AG9" s="122">
        <v>0</v>
      </c>
    </row>
    <row r="10" spans="1:33" ht="15" customHeight="1">
      <c r="A10" s="121">
        <v>2</v>
      </c>
      <c r="B10" s="122" t="s">
        <v>979</v>
      </c>
      <c r="C10" s="126">
        <v>0</v>
      </c>
      <c r="D10" s="126"/>
      <c r="E10" s="127" t="s">
        <v>552</v>
      </c>
      <c r="F10" s="127"/>
      <c r="G10" s="127" t="s">
        <v>553</v>
      </c>
      <c r="H10" s="126"/>
      <c r="L10" s="129">
        <v>0</v>
      </c>
      <c r="M10" s="19">
        <v>0</v>
      </c>
      <c r="N10" s="129">
        <v>0</v>
      </c>
      <c r="O10" s="129">
        <v>0</v>
      </c>
      <c r="P10" s="55">
        <v>0</v>
      </c>
      <c r="Q10" s="55"/>
      <c r="R10" s="55" t="e">
        <v>#REF!</v>
      </c>
      <c r="S10" s="169" t="e">
        <v>#REF!</v>
      </c>
      <c r="T10" s="169" t="e">
        <v>#REF!</v>
      </c>
      <c r="U10" s="204" t="e">
        <v>#REF!</v>
      </c>
      <c r="V10" s="204" t="e">
        <v>#REF!</v>
      </c>
      <c r="W10" s="204" t="e">
        <v>#REF!</v>
      </c>
      <c r="X10" s="663" t="e">
        <v>#REF!</v>
      </c>
      <c r="Y10" s="663">
        <v>3743831.9254299994</v>
      </c>
      <c r="Z10" s="929">
        <v>5878916.6891000001</v>
      </c>
      <c r="AA10" s="1548">
        <v>7241070.4598200005</v>
      </c>
      <c r="AB10" s="1549">
        <v>6903266.2624000004</v>
      </c>
      <c r="AC10" s="1599">
        <v>8003512.3361240011</v>
      </c>
      <c r="AD10" s="1525">
        <v>9696449.6500000004</v>
      </c>
      <c r="AE10" s="722">
        <v>10426521.466786001</v>
      </c>
      <c r="AF10" s="722">
        <v>11193649.696352772</v>
      </c>
      <c r="AG10" s="122">
        <v>0</v>
      </c>
    </row>
    <row r="11" spans="1:33" ht="15" customHeight="1">
      <c r="A11" s="121">
        <v>3</v>
      </c>
      <c r="B11" s="122" t="s">
        <v>1503</v>
      </c>
      <c r="C11" s="126"/>
      <c r="D11" s="126"/>
      <c r="E11" s="127"/>
      <c r="F11" s="127"/>
      <c r="G11" s="127"/>
      <c r="H11" s="126"/>
      <c r="L11" s="129">
        <v>611171</v>
      </c>
      <c r="M11" s="19">
        <v>382035</v>
      </c>
      <c r="N11" s="129">
        <v>300000</v>
      </c>
      <c r="O11" s="130">
        <v>72282</v>
      </c>
      <c r="P11" s="55">
        <v>0</v>
      </c>
      <c r="Q11" s="55"/>
      <c r="R11" s="55" t="e">
        <v>#REF!</v>
      </c>
      <c r="S11" s="169" t="e">
        <v>#REF!</v>
      </c>
      <c r="T11" s="169"/>
      <c r="U11" s="204"/>
      <c r="V11" s="204"/>
      <c r="W11" s="204"/>
      <c r="X11" s="663"/>
      <c r="Y11" s="663">
        <v>3896442</v>
      </c>
      <c r="Z11" s="929">
        <v>1961037</v>
      </c>
      <c r="AA11" s="1548">
        <v>1816206.4469667461</v>
      </c>
      <c r="AB11" s="1549">
        <v>1732047.5969894014</v>
      </c>
      <c r="AC11" s="1599">
        <v>1626819.1505000666</v>
      </c>
      <c r="AD11" s="1525">
        <v>1493636.55</v>
      </c>
      <c r="AE11" s="722">
        <v>1433891.0879999998</v>
      </c>
      <c r="AF11" s="722">
        <v>1419552.1771199997</v>
      </c>
      <c r="AG11" s="122">
        <v>1419552.1771199997</v>
      </c>
    </row>
    <row r="12" spans="1:33" ht="15" customHeight="1">
      <c r="A12" s="121">
        <v>4</v>
      </c>
      <c r="B12" s="122" t="s">
        <v>980</v>
      </c>
      <c r="C12" s="126">
        <v>5505000</v>
      </c>
      <c r="D12" s="126"/>
      <c r="E12" s="126">
        <v>5505000</v>
      </c>
      <c r="F12" s="126"/>
      <c r="G12" s="126">
        <v>5505000</v>
      </c>
      <c r="H12" s="126"/>
      <c r="L12" s="129">
        <v>4826332</v>
      </c>
      <c r="M12" s="19">
        <v>4225232</v>
      </c>
      <c r="N12" s="129">
        <v>3552400</v>
      </c>
      <c r="O12" s="129" t="e">
        <v>#REF!</v>
      </c>
      <c r="P12" s="55">
        <v>0</v>
      </c>
      <c r="Q12" s="55"/>
      <c r="R12" s="55" t="e">
        <v>#REF!</v>
      </c>
      <c r="S12" s="169" t="e">
        <v>#REF!</v>
      </c>
      <c r="T12" s="169"/>
      <c r="U12" s="204"/>
      <c r="V12" s="204"/>
      <c r="W12" s="204">
        <v>0</v>
      </c>
      <c r="X12" s="663" t="e">
        <v>#REF!</v>
      </c>
      <c r="Y12" s="663">
        <v>10076622.126070602</v>
      </c>
      <c r="Z12" s="929">
        <v>8931646.5</v>
      </c>
      <c r="AA12" s="1548">
        <v>9895152.8024701811</v>
      </c>
      <c r="AB12" s="1549">
        <v>10809027.997695018</v>
      </c>
      <c r="AC12" s="1599">
        <v>10808204.81148684</v>
      </c>
      <c r="AD12" s="1525">
        <v>9599554.3475330155</v>
      </c>
      <c r="AE12" s="722">
        <v>9214386.5913167987</v>
      </c>
      <c r="AF12" s="722">
        <v>9111558.3454059623</v>
      </c>
      <c r="AG12" s="122">
        <v>0</v>
      </c>
    </row>
    <row r="13" spans="1:33" ht="15" customHeight="1">
      <c r="A13" s="121">
        <v>5</v>
      </c>
      <c r="B13" s="122" t="s">
        <v>523</v>
      </c>
      <c r="C13" s="126"/>
      <c r="D13" s="126"/>
      <c r="E13" s="126"/>
      <c r="F13" s="126"/>
      <c r="G13" s="126"/>
      <c r="H13" s="126"/>
      <c r="L13" s="129">
        <v>0</v>
      </c>
      <c r="M13" s="19">
        <v>0</v>
      </c>
      <c r="N13" s="129">
        <v>779600</v>
      </c>
      <c r="O13" s="129">
        <v>779601</v>
      </c>
      <c r="P13" s="55">
        <v>298250</v>
      </c>
      <c r="Q13" s="55">
        <v>298250</v>
      </c>
      <c r="R13" s="55" t="e">
        <v>#REF!</v>
      </c>
      <c r="S13" s="169" t="e">
        <v>#REF!</v>
      </c>
      <c r="T13" s="169"/>
      <c r="U13" s="204"/>
      <c r="V13" s="204"/>
      <c r="W13" s="204"/>
      <c r="X13" s="663"/>
      <c r="Y13" s="663"/>
      <c r="Z13" s="929"/>
      <c r="AA13" s="1548"/>
      <c r="AB13" s="1549">
        <v>0</v>
      </c>
      <c r="AC13" s="1599"/>
      <c r="AD13" s="1525"/>
      <c r="AE13" s="722"/>
      <c r="AF13" s="722"/>
      <c r="AG13" s="122">
        <v>0</v>
      </c>
    </row>
    <row r="14" spans="1:33" ht="15" customHeight="1">
      <c r="A14" s="121">
        <v>6</v>
      </c>
      <c r="B14" s="2" t="s">
        <v>554</v>
      </c>
      <c r="C14" s="126">
        <v>2130000</v>
      </c>
      <c r="D14" s="126"/>
      <c r="E14" s="126">
        <v>2350000</v>
      </c>
      <c r="F14" s="126"/>
      <c r="G14" s="126">
        <v>2350000</v>
      </c>
      <c r="H14" s="126"/>
      <c r="L14" s="129">
        <v>1959216</v>
      </c>
      <c r="M14" s="19">
        <v>2756921.47</v>
      </c>
      <c r="N14" s="129">
        <v>2400000</v>
      </c>
      <c r="O14" s="129">
        <v>2314423.4800000004</v>
      </c>
      <c r="P14" s="55">
        <v>2400000</v>
      </c>
      <c r="Q14" s="55">
        <v>2116426</v>
      </c>
      <c r="R14" s="55" t="e">
        <v>#REF!</v>
      </c>
      <c r="S14" s="169" t="e">
        <v>#REF!</v>
      </c>
      <c r="T14" s="169" t="e">
        <v>#REF!</v>
      </c>
      <c r="U14" s="204" t="e">
        <v>#REF!</v>
      </c>
      <c r="V14" s="204" t="e">
        <v>#REF!</v>
      </c>
      <c r="W14" s="204" t="e">
        <v>#REF!</v>
      </c>
      <c r="X14" s="663" t="e">
        <v>#REF!</v>
      </c>
      <c r="Y14" s="663">
        <v>2400000</v>
      </c>
      <c r="Z14" s="929">
        <v>2400000</v>
      </c>
      <c r="AA14" s="1548">
        <v>2400000</v>
      </c>
      <c r="AB14" s="1549">
        <v>2494148.5396647379</v>
      </c>
      <c r="AC14" s="1599">
        <v>2634675.1060952377</v>
      </c>
      <c r="AD14" s="1525">
        <v>2514079.8605000004</v>
      </c>
      <c r="AE14" s="722">
        <v>2417251.3150403658</v>
      </c>
      <c r="AF14" s="722">
        <v>2391400.9957365799</v>
      </c>
      <c r="AG14" s="122">
        <v>0</v>
      </c>
    </row>
    <row r="15" spans="1:33" ht="15" customHeight="1">
      <c r="A15" s="121">
        <v>7</v>
      </c>
      <c r="B15" s="2" t="s">
        <v>555</v>
      </c>
      <c r="C15" s="126">
        <v>947000</v>
      </c>
      <c r="D15" s="126"/>
      <c r="E15" s="126">
        <v>1052000</v>
      </c>
      <c r="F15" s="126"/>
      <c r="G15" s="126">
        <v>1052000</v>
      </c>
      <c r="H15" s="126"/>
      <c r="L15" s="129">
        <v>1052438</v>
      </c>
      <c r="M15" s="19">
        <v>1229672</v>
      </c>
      <c r="N15" s="129">
        <v>938500</v>
      </c>
      <c r="O15" s="129">
        <v>936479</v>
      </c>
      <c r="P15" s="55">
        <v>938400</v>
      </c>
      <c r="Q15" s="55">
        <v>938479</v>
      </c>
      <c r="R15" s="55" t="e">
        <v>#REF!</v>
      </c>
      <c r="S15" s="169" t="e">
        <v>#REF!</v>
      </c>
      <c r="T15" s="169" t="e">
        <v>#REF!</v>
      </c>
      <c r="U15" s="204" t="e">
        <v>#REF!</v>
      </c>
      <c r="V15" s="204">
        <v>385618</v>
      </c>
      <c r="W15" s="204" t="e">
        <v>#REF!</v>
      </c>
      <c r="X15" s="663" t="e">
        <v>#REF!</v>
      </c>
      <c r="Y15" s="663">
        <v>385618</v>
      </c>
      <c r="Z15" s="929">
        <v>385618</v>
      </c>
      <c r="AA15" s="1548">
        <v>371881</v>
      </c>
      <c r="AB15" s="1549">
        <v>1332672</v>
      </c>
      <c r="AC15" s="1599">
        <v>1359858</v>
      </c>
      <c r="AD15" s="1525">
        <v>1358791</v>
      </c>
      <c r="AE15" s="722">
        <v>1358791</v>
      </c>
      <c r="AF15" s="722">
        <v>1358791</v>
      </c>
      <c r="AG15" s="122">
        <v>0</v>
      </c>
    </row>
    <row r="16" spans="1:33" ht="15" customHeight="1">
      <c r="A16" s="121">
        <v>8</v>
      </c>
      <c r="B16" s="2" t="s">
        <v>556</v>
      </c>
      <c r="C16" s="126"/>
      <c r="D16" s="126"/>
      <c r="E16" s="126"/>
      <c r="F16" s="126"/>
      <c r="G16" s="126"/>
      <c r="H16" s="126"/>
      <c r="L16" s="129"/>
      <c r="M16" s="19">
        <v>291193</v>
      </c>
      <c r="N16" s="129">
        <v>300000</v>
      </c>
      <c r="O16" s="129">
        <v>281930</v>
      </c>
      <c r="P16" s="55">
        <v>269600</v>
      </c>
      <c r="Q16" s="55">
        <v>389000</v>
      </c>
      <c r="R16" s="55" t="e">
        <v>#REF!</v>
      </c>
      <c r="S16" s="169" t="e">
        <v>#REF!</v>
      </c>
      <c r="T16" s="169" t="e">
        <v>#REF!</v>
      </c>
      <c r="U16" s="204" t="e">
        <v>#REF!</v>
      </c>
      <c r="V16" s="204">
        <v>243118</v>
      </c>
      <c r="W16" s="204" t="e">
        <v>#REF!</v>
      </c>
      <c r="X16" s="663" t="e">
        <v>#REF!</v>
      </c>
      <c r="Y16" s="663">
        <v>245772</v>
      </c>
      <c r="Z16" s="929">
        <v>245772</v>
      </c>
      <c r="AA16" s="1548">
        <v>237016.78119797312</v>
      </c>
      <c r="AB16" s="1549">
        <v>237016.78119797312</v>
      </c>
      <c r="AC16" s="1599">
        <v>0</v>
      </c>
      <c r="AD16" s="1525">
        <v>188346</v>
      </c>
      <c r="AE16" s="722">
        <v>188346</v>
      </c>
      <c r="AF16" s="722">
        <v>188346</v>
      </c>
      <c r="AG16" s="122">
        <v>0</v>
      </c>
    </row>
    <row r="17" spans="1:34" ht="15" customHeight="1">
      <c r="A17" s="121">
        <v>9</v>
      </c>
      <c r="B17" s="2" t="s">
        <v>557</v>
      </c>
      <c r="C17" s="126">
        <v>556000</v>
      </c>
      <c r="D17" s="126"/>
      <c r="E17" s="126">
        <v>556000</v>
      </c>
      <c r="F17" s="126"/>
      <c r="G17" s="126">
        <v>556000</v>
      </c>
      <c r="H17" s="126"/>
      <c r="I17" s="131"/>
      <c r="L17" s="129">
        <v>669293.27</v>
      </c>
      <c r="M17" s="19">
        <v>340007.17</v>
      </c>
      <c r="N17" s="129">
        <v>356000</v>
      </c>
      <c r="O17" s="129">
        <v>356681.19</v>
      </c>
      <c r="P17" s="55">
        <v>368000</v>
      </c>
      <c r="Q17" s="55">
        <v>371148</v>
      </c>
      <c r="R17" s="55" t="e">
        <v>#REF!</v>
      </c>
      <c r="S17" s="169" t="e">
        <v>#REF!</v>
      </c>
      <c r="T17" s="169" t="e">
        <v>#REF!</v>
      </c>
      <c r="U17" s="204" t="e">
        <v>#REF!</v>
      </c>
      <c r="V17" s="204">
        <v>99800</v>
      </c>
      <c r="W17" s="204" t="e">
        <v>#REF!</v>
      </c>
      <c r="X17" s="663" t="e">
        <v>#REF!</v>
      </c>
      <c r="Y17" s="663">
        <v>62150</v>
      </c>
      <c r="Z17" s="929">
        <v>62148</v>
      </c>
      <c r="AA17" s="1548">
        <v>273000</v>
      </c>
      <c r="AB17" s="1549">
        <v>231196</v>
      </c>
      <c r="AC17" s="1599">
        <v>238730</v>
      </c>
      <c r="AD17" s="1525">
        <v>399801</v>
      </c>
      <c r="AE17" s="722">
        <v>399801</v>
      </c>
      <c r="AF17" s="722">
        <v>399801</v>
      </c>
      <c r="AG17" s="122">
        <v>0</v>
      </c>
    </row>
    <row r="18" spans="1:34" ht="15" customHeight="1">
      <c r="A18" s="121">
        <v>10</v>
      </c>
      <c r="B18" s="2" t="s">
        <v>558</v>
      </c>
      <c r="C18" s="126">
        <v>2300000</v>
      </c>
      <c r="D18" s="126"/>
      <c r="E18" s="126">
        <v>2100000</v>
      </c>
      <c r="F18" s="126"/>
      <c r="G18" s="126">
        <v>2100000</v>
      </c>
      <c r="H18" s="126"/>
      <c r="I18" s="131"/>
      <c r="L18" s="129">
        <v>1855002.19</v>
      </c>
      <c r="M18" s="19">
        <v>1749479.5</v>
      </c>
      <c r="N18" s="129">
        <v>1650000</v>
      </c>
      <c r="O18" s="129">
        <v>1489584</v>
      </c>
      <c r="P18" s="55">
        <v>1372000</v>
      </c>
      <c r="Q18" s="55">
        <v>1501241</v>
      </c>
      <c r="R18" s="55" t="e">
        <v>#REF!</v>
      </c>
      <c r="S18" s="169" t="e">
        <v>#REF!</v>
      </c>
      <c r="T18" s="169" t="e">
        <v>#REF!</v>
      </c>
      <c r="U18" s="204">
        <v>1551466</v>
      </c>
      <c r="V18" s="204">
        <v>1668341</v>
      </c>
      <c r="W18" s="204" t="e">
        <v>#REF!</v>
      </c>
      <c r="X18" s="663" t="e">
        <v>#REF!</v>
      </c>
      <c r="Y18" s="663">
        <v>2474413.0641767462</v>
      </c>
      <c r="Z18" s="929">
        <v>3170438.0007152995</v>
      </c>
      <c r="AA18" s="1548">
        <v>5297676.6493857447</v>
      </c>
      <c r="AB18" s="1549">
        <v>7549502.3471337762</v>
      </c>
      <c r="AC18" s="1599">
        <v>8081460</v>
      </c>
      <c r="AD18" s="1525">
        <v>7331345</v>
      </c>
      <c r="AE18" s="722">
        <v>7186403.6364956647</v>
      </c>
      <c r="AF18" s="722">
        <v>7141436.2536230134</v>
      </c>
      <c r="AG18" s="122">
        <v>0</v>
      </c>
    </row>
    <row r="19" spans="1:34" s="1237" customFormat="1" ht="15" customHeight="1">
      <c r="A19" s="121"/>
      <c r="B19" s="1236" t="s">
        <v>1569</v>
      </c>
      <c r="C19" s="126"/>
      <c r="D19" s="126"/>
      <c r="E19" s="126"/>
      <c r="F19" s="126"/>
      <c r="G19" s="126"/>
      <c r="H19" s="126"/>
      <c r="I19" s="131"/>
      <c r="L19" s="129"/>
      <c r="M19" s="19"/>
      <c r="N19" s="129"/>
      <c r="O19" s="129"/>
      <c r="P19" s="55"/>
      <c r="Q19" s="55"/>
      <c r="R19" s="55"/>
      <c r="S19" s="169"/>
      <c r="T19" s="169"/>
      <c r="U19" s="204"/>
      <c r="V19" s="204"/>
      <c r="W19" s="204"/>
      <c r="X19" s="663"/>
      <c r="Y19" s="663"/>
      <c r="Z19" s="929"/>
      <c r="AA19" s="1548"/>
      <c r="AB19" s="1549"/>
      <c r="AC19" s="1599">
        <v>1248125.5534883721</v>
      </c>
      <c r="AD19" s="1525">
        <v>1207729.9517543861</v>
      </c>
      <c r="AE19" s="722">
        <v>1260700.5636734383</v>
      </c>
      <c r="AF19" s="722">
        <v>1287185.8696329645</v>
      </c>
      <c r="AG19" s="122">
        <v>0</v>
      </c>
    </row>
    <row r="20" spans="1:34" ht="15" customHeight="1">
      <c r="A20" s="121">
        <v>11</v>
      </c>
      <c r="B20" s="2" t="s">
        <v>559</v>
      </c>
      <c r="C20" s="126">
        <v>900000</v>
      </c>
      <c r="D20" s="126"/>
      <c r="E20" s="126">
        <v>1100000</v>
      </c>
      <c r="F20" s="126"/>
      <c r="G20" s="126">
        <v>1100000</v>
      </c>
      <c r="H20" s="126"/>
      <c r="I20" s="131" t="s">
        <v>540</v>
      </c>
      <c r="L20" s="129">
        <v>757002.88</v>
      </c>
      <c r="M20" s="19">
        <v>780697.18</v>
      </c>
      <c r="N20" s="129">
        <v>700000</v>
      </c>
      <c r="O20" s="129">
        <v>779883.97</v>
      </c>
      <c r="P20" s="55">
        <v>950000</v>
      </c>
      <c r="Q20" s="55">
        <v>654500</v>
      </c>
      <c r="R20" s="55" t="e">
        <v>#REF!</v>
      </c>
      <c r="S20" s="169" t="e">
        <v>#REF!</v>
      </c>
      <c r="T20" s="169" t="e">
        <v>#REF!</v>
      </c>
      <c r="U20" s="204" t="e">
        <v>#REF!</v>
      </c>
      <c r="V20" s="204">
        <v>1000000</v>
      </c>
      <c r="W20" s="204" t="e">
        <v>#REF!</v>
      </c>
      <c r="X20" s="663" t="e">
        <v>#REF!</v>
      </c>
      <c r="Y20" s="663">
        <v>1200000</v>
      </c>
      <c r="Z20" s="929">
        <v>1000000</v>
      </c>
      <c r="AA20" s="1548">
        <v>1100000</v>
      </c>
      <c r="AB20" s="1549">
        <v>1000000</v>
      </c>
      <c r="AC20" s="1599">
        <v>800000</v>
      </c>
      <c r="AD20" s="1525">
        <v>1500000</v>
      </c>
      <c r="AE20" s="722">
        <v>1500000</v>
      </c>
      <c r="AF20" s="722">
        <v>1500000</v>
      </c>
      <c r="AG20" s="122">
        <v>0</v>
      </c>
    </row>
    <row r="21" spans="1:34" ht="15" customHeight="1">
      <c r="A21" s="121">
        <v>12</v>
      </c>
      <c r="B21" s="2" t="s">
        <v>560</v>
      </c>
      <c r="C21" s="126">
        <v>750000</v>
      </c>
      <c r="D21" s="126"/>
      <c r="E21" s="126">
        <v>750000</v>
      </c>
      <c r="F21" s="126"/>
      <c r="G21" s="126">
        <v>750000</v>
      </c>
      <c r="H21" s="126"/>
      <c r="I21" s="131" t="s">
        <v>540</v>
      </c>
      <c r="L21" s="129">
        <v>0</v>
      </c>
      <c r="M21" s="19">
        <v>0</v>
      </c>
      <c r="N21" s="129">
        <v>0</v>
      </c>
      <c r="O21" s="132">
        <v>0</v>
      </c>
      <c r="P21" s="55">
        <v>0</v>
      </c>
      <c r="Q21" s="55"/>
      <c r="R21" s="55" t="e">
        <v>#REF!</v>
      </c>
      <c r="S21" s="169" t="e">
        <v>#REF!</v>
      </c>
      <c r="T21" s="169"/>
      <c r="U21" s="204"/>
      <c r="V21" s="204"/>
      <c r="W21" s="204"/>
      <c r="X21" s="663"/>
      <c r="Y21" s="663">
        <v>547000</v>
      </c>
      <c r="Z21" s="929">
        <v>547000</v>
      </c>
      <c r="AA21" s="1548">
        <v>10451527</v>
      </c>
      <c r="AB21" s="1549">
        <v>2159482</v>
      </c>
      <c r="AC21" s="1599">
        <v>455509.36214001867</v>
      </c>
      <c r="AD21" s="1525">
        <v>436291.236255</v>
      </c>
      <c r="AE21" s="722">
        <v>418839.58680479997</v>
      </c>
      <c r="AF21" s="722">
        <v>414651.19093675195</v>
      </c>
      <c r="AG21" s="122">
        <v>0</v>
      </c>
    </row>
    <row r="22" spans="1:34" s="1257" customFormat="1" ht="15" customHeight="1">
      <c r="A22" s="121"/>
      <c r="B22" s="1236" t="s">
        <v>1575</v>
      </c>
      <c r="C22" s="126"/>
      <c r="D22" s="126"/>
      <c r="E22" s="126"/>
      <c r="F22" s="126"/>
      <c r="G22" s="126"/>
      <c r="H22" s="126"/>
      <c r="I22" s="131"/>
      <c r="L22" s="129"/>
      <c r="M22" s="19"/>
      <c r="N22" s="129"/>
      <c r="O22" s="132"/>
      <c r="P22" s="55"/>
      <c r="Q22" s="55"/>
      <c r="R22" s="55"/>
      <c r="S22" s="169"/>
      <c r="T22" s="169"/>
      <c r="U22" s="204"/>
      <c r="V22" s="204"/>
      <c r="W22" s="204"/>
      <c r="X22" s="663"/>
      <c r="Y22" s="663"/>
      <c r="Z22" s="929"/>
      <c r="AA22" s="1548"/>
      <c r="AB22" s="1549"/>
      <c r="AC22" s="1599">
        <v>2659653</v>
      </c>
      <c r="AD22" s="1525">
        <v>3216320</v>
      </c>
      <c r="AE22" s="722">
        <v>3216320</v>
      </c>
      <c r="AF22" s="722">
        <v>3216320</v>
      </c>
      <c r="AG22" s="122">
        <v>0</v>
      </c>
    </row>
    <row r="23" spans="1:34" ht="15" customHeight="1">
      <c r="A23" s="121">
        <v>13</v>
      </c>
      <c r="B23" s="2" t="s">
        <v>561</v>
      </c>
      <c r="C23" s="126">
        <v>850000</v>
      </c>
      <c r="D23" s="126"/>
      <c r="E23" s="126">
        <v>850000</v>
      </c>
      <c r="F23" s="126"/>
      <c r="G23" s="126">
        <v>850000</v>
      </c>
      <c r="H23" s="126"/>
      <c r="I23" s="131"/>
      <c r="J23" s="2" t="s">
        <v>540</v>
      </c>
      <c r="L23" s="133">
        <v>1187298.83</v>
      </c>
      <c r="M23" s="22">
        <v>495358.67999999225</v>
      </c>
      <c r="N23" s="133">
        <v>526100</v>
      </c>
      <c r="O23" s="133" t="e">
        <v>#REF!</v>
      </c>
      <c r="P23" s="22">
        <v>634118</v>
      </c>
      <c r="Q23" s="22">
        <v>653813</v>
      </c>
      <c r="R23" s="22" t="e">
        <v>#REF!</v>
      </c>
      <c r="S23" s="170" t="e">
        <v>#REF!</v>
      </c>
      <c r="T23" s="170" t="e">
        <v>#REF!</v>
      </c>
      <c r="U23" s="205" t="e">
        <v>#REF!</v>
      </c>
      <c r="V23" s="205" t="e">
        <v>#REF!</v>
      </c>
      <c r="W23" s="205" t="e">
        <v>#REF!</v>
      </c>
      <c r="X23" s="766" t="e">
        <v>#REF!</v>
      </c>
      <c r="Y23" s="766">
        <v>3414439</v>
      </c>
      <c r="Z23" s="1006">
        <v>3015470</v>
      </c>
      <c r="AA23" s="1550">
        <v>3172825</v>
      </c>
      <c r="AB23" s="1551">
        <v>2228670</v>
      </c>
      <c r="AC23" s="1600">
        <v>1539930</v>
      </c>
      <c r="AD23" s="1526">
        <v>1239480</v>
      </c>
      <c r="AE23" s="723">
        <v>1239480</v>
      </c>
      <c r="AF23" s="723">
        <v>1239480</v>
      </c>
      <c r="AG23" s="122">
        <v>0</v>
      </c>
    </row>
    <row r="24" spans="1:34" ht="15" customHeight="1">
      <c r="A24" s="121"/>
      <c r="C24" s="126"/>
      <c r="D24" s="126"/>
      <c r="E24" s="126"/>
      <c r="F24" s="126"/>
      <c r="G24" s="126"/>
      <c r="H24" s="126"/>
      <c r="I24" s="131"/>
      <c r="L24" s="134"/>
      <c r="M24" s="135"/>
      <c r="N24" s="136"/>
      <c r="O24" s="136"/>
      <c r="S24" s="189"/>
      <c r="T24" s="189"/>
      <c r="U24" s="396"/>
      <c r="V24" s="396"/>
      <c r="W24" s="396"/>
      <c r="X24" s="248"/>
      <c r="Y24" s="248"/>
      <c r="Z24" s="928"/>
      <c r="AA24" s="1552"/>
      <c r="AB24" s="1553"/>
      <c r="AC24" s="1601"/>
      <c r="AD24" s="1605"/>
      <c r="AE24" s="720"/>
      <c r="AF24" s="720"/>
      <c r="AG24" s="122">
        <v>0</v>
      </c>
      <c r="AH24" s="29"/>
    </row>
    <row r="25" spans="1:34" ht="15" customHeight="1" thickBot="1">
      <c r="A25" s="121">
        <v>14</v>
      </c>
      <c r="B25" s="2" t="s">
        <v>562</v>
      </c>
      <c r="C25" s="126">
        <v>83588000</v>
      </c>
      <c r="D25" s="126"/>
      <c r="E25" s="126">
        <v>86165445</v>
      </c>
      <c r="F25" s="126">
        <v>0</v>
      </c>
      <c r="G25" s="126">
        <v>86196553</v>
      </c>
      <c r="H25" s="126"/>
      <c r="I25" s="137"/>
      <c r="J25" s="55"/>
      <c r="K25" s="55"/>
      <c r="L25" s="138">
        <v>89162256.069999978</v>
      </c>
      <c r="M25" s="139">
        <v>88595220</v>
      </c>
      <c r="N25" s="138">
        <v>89732300</v>
      </c>
      <c r="O25" s="138" t="e">
        <v>#REF!</v>
      </c>
      <c r="P25" s="138" t="e">
        <v>#REF!</v>
      </c>
      <c r="Q25" s="138">
        <v>106230204</v>
      </c>
      <c r="R25" s="138" t="e">
        <v>#REF!</v>
      </c>
      <c r="S25" s="171" t="e">
        <v>#REF!</v>
      </c>
      <c r="T25" s="171" t="e">
        <v>#REF!</v>
      </c>
      <c r="U25" s="206" t="e">
        <v>#REF!</v>
      </c>
      <c r="V25" s="206" t="e">
        <v>#REF!</v>
      </c>
      <c r="W25" s="206" t="e">
        <v>#REF!</v>
      </c>
      <c r="X25" s="767" t="e">
        <v>#REF!</v>
      </c>
      <c r="Y25" s="767">
        <v>130299143.63867736</v>
      </c>
      <c r="Z25" s="930">
        <v>134673370.30278429</v>
      </c>
      <c r="AA25" s="1554">
        <v>156803421.9638887</v>
      </c>
      <c r="AB25" s="1555">
        <v>163740350.72168094</v>
      </c>
      <c r="AC25" s="1602">
        <v>177330817.87988451</v>
      </c>
      <c r="AD25" s="1607">
        <v>187092861.34702346</v>
      </c>
      <c r="AE25" s="724">
        <v>198674903.17669994</v>
      </c>
      <c r="AF25" s="724">
        <v>211363344.69924176</v>
      </c>
      <c r="AG25" s="122">
        <v>1419552.1771200001</v>
      </c>
    </row>
    <row r="26" spans="1:34" ht="15" customHeight="1" thickTop="1">
      <c r="A26" s="121"/>
      <c r="C26" s="126"/>
      <c r="D26" s="126"/>
      <c r="E26" s="126"/>
      <c r="F26" s="126"/>
      <c r="G26" s="126"/>
      <c r="H26" s="126"/>
      <c r="J26" s="55"/>
      <c r="K26" s="19"/>
      <c r="L26" s="20"/>
      <c r="M26" s="140"/>
      <c r="N26" s="134"/>
      <c r="O26" s="134"/>
      <c r="S26" s="189"/>
      <c r="T26" s="189"/>
      <c r="U26" s="396"/>
      <c r="V26" s="396"/>
      <c r="W26" s="396"/>
      <c r="X26" s="248"/>
      <c r="Y26" s="248"/>
      <c r="Z26" s="928"/>
      <c r="AA26" s="1552"/>
      <c r="AB26" s="1553"/>
      <c r="AC26" s="1601"/>
      <c r="AD26" s="1605"/>
      <c r="AE26" s="720"/>
      <c r="AF26" s="720"/>
      <c r="AG26" s="122">
        <v>0</v>
      </c>
    </row>
    <row r="27" spans="1:34" ht="15" customHeight="1">
      <c r="A27" s="121"/>
      <c r="B27" s="141" t="s">
        <v>563</v>
      </c>
      <c r="C27" s="126" t="s">
        <v>540</v>
      </c>
      <c r="D27" s="126"/>
      <c r="E27" s="126"/>
      <c r="F27" s="126"/>
      <c r="G27" s="126"/>
      <c r="H27" s="126"/>
      <c r="J27" s="55"/>
      <c r="K27" s="19"/>
      <c r="L27" s="20"/>
      <c r="M27" s="142"/>
      <c r="N27" s="136"/>
      <c r="O27" s="143"/>
      <c r="S27" s="189"/>
      <c r="T27" s="189"/>
      <c r="U27" s="396"/>
      <c r="V27" s="396"/>
      <c r="W27" s="396"/>
      <c r="X27" s="248"/>
      <c r="Y27" s="248"/>
      <c r="Z27" s="928"/>
      <c r="AA27" s="1552"/>
      <c r="AB27" s="1553"/>
      <c r="AC27" s="1601"/>
      <c r="AD27" s="1605"/>
      <c r="AE27" s="720"/>
      <c r="AF27" s="720"/>
      <c r="AG27" s="122">
        <v>0</v>
      </c>
    </row>
    <row r="28" spans="1:34" s="1830" customFormat="1" ht="15" customHeight="1">
      <c r="A28" s="1829" t="s">
        <v>564</v>
      </c>
      <c r="B28" s="1830" t="s">
        <v>321</v>
      </c>
      <c r="C28" s="1831"/>
      <c r="D28" s="1831"/>
      <c r="E28" s="1831"/>
      <c r="F28" s="1831"/>
      <c r="G28" s="1831"/>
      <c r="H28" s="1831"/>
      <c r="I28" s="1832"/>
      <c r="J28" s="1833"/>
      <c r="K28" s="1834"/>
      <c r="L28" s="1835">
        <v>10952109.890000001</v>
      </c>
      <c r="M28" s="1835">
        <v>9788898.9399999995</v>
      </c>
      <c r="N28" s="1835">
        <v>10168806</v>
      </c>
      <c r="O28" s="1835">
        <v>10738269.550000001</v>
      </c>
      <c r="P28" s="1834">
        <v>10578917</v>
      </c>
      <c r="Q28" s="1834">
        <v>10848787</v>
      </c>
      <c r="R28" s="1834" t="e">
        <v>#REF!</v>
      </c>
      <c r="S28" s="1836" t="e">
        <v>#REF!</v>
      </c>
      <c r="T28" s="1837" t="e">
        <v>#REF!</v>
      </c>
      <c r="U28" s="1838" t="e">
        <v>#REF!</v>
      </c>
      <c r="V28" s="1838" t="e">
        <v>#REF!</v>
      </c>
      <c r="W28" s="1838" t="e">
        <v>#REF!</v>
      </c>
      <c r="X28" s="1839" t="e">
        <v>#REF!</v>
      </c>
      <c r="Y28" s="1839" t="e">
        <v>#NAME?</v>
      </c>
      <c r="Z28" s="929">
        <v>18267170.973084126</v>
      </c>
      <c r="AA28" s="1840">
        <v>21221641.729023855</v>
      </c>
      <c r="AB28" s="1841">
        <v>23873389.176054537</v>
      </c>
      <c r="AC28" s="1816">
        <v>25237962.187992912</v>
      </c>
      <c r="AD28" s="1842">
        <v>27946625.793680951</v>
      </c>
      <c r="AE28" s="1816">
        <v>28122872.278857328</v>
      </c>
      <c r="AF28" s="1816">
        <v>28379145.271554567</v>
      </c>
      <c r="AG28" s="1843">
        <v>3439375.7320239879</v>
      </c>
    </row>
    <row r="29" spans="1:34" s="1830" customFormat="1" ht="15" customHeight="1">
      <c r="A29" s="1829" t="s">
        <v>565</v>
      </c>
      <c r="B29" s="1830" t="s">
        <v>569</v>
      </c>
      <c r="C29" s="1831"/>
      <c r="D29" s="1831"/>
      <c r="E29" s="1831"/>
      <c r="F29" s="1831"/>
      <c r="G29" s="1831"/>
      <c r="H29" s="1831"/>
      <c r="I29" s="1832"/>
      <c r="J29" s="1833"/>
      <c r="K29" s="1834"/>
      <c r="L29" s="1835">
        <v>25293508.829999998</v>
      </c>
      <c r="M29" s="1835">
        <v>23586519.620000001</v>
      </c>
      <c r="N29" s="1835">
        <v>23479252</v>
      </c>
      <c r="O29" s="1835">
        <v>24259262.280000001</v>
      </c>
      <c r="P29" s="1834">
        <v>24427674</v>
      </c>
      <c r="Q29" s="1834">
        <v>25244916</v>
      </c>
      <c r="R29" s="1834" t="e">
        <v>#REF!</v>
      </c>
      <c r="S29" s="1836" t="e">
        <v>#REF!</v>
      </c>
      <c r="T29" s="1837" t="e">
        <v>#REF!</v>
      </c>
      <c r="U29" s="1838" t="e">
        <v>#REF!</v>
      </c>
      <c r="V29" s="1838" t="e">
        <v>#REF!</v>
      </c>
      <c r="W29" s="1838" t="e">
        <v>#REF!</v>
      </c>
      <c r="X29" s="1839" t="e">
        <v>#REF!</v>
      </c>
      <c r="Y29" s="1839" t="e">
        <v>#NAME?</v>
      </c>
      <c r="Z29" s="929">
        <v>30997992.107627269</v>
      </c>
      <c r="AA29" s="1840">
        <v>33715020.267731078</v>
      </c>
      <c r="AB29" s="1844">
        <v>39001166.289322868</v>
      </c>
      <c r="AC29" s="1816">
        <v>41645471.680077396</v>
      </c>
      <c r="AD29" s="1842">
        <v>45176363.71061828</v>
      </c>
      <c r="AE29" s="1816">
        <v>45463729.37842682</v>
      </c>
      <c r="AF29" s="1816">
        <v>45748277.291323639</v>
      </c>
      <c r="AG29" s="1843">
        <v>4590139.0547258928</v>
      </c>
    </row>
    <row r="30" spans="1:34" s="1830" customFormat="1" ht="15" customHeight="1">
      <c r="A30" s="1829" t="s">
        <v>566</v>
      </c>
      <c r="B30" s="1830" t="s">
        <v>567</v>
      </c>
      <c r="C30" s="1831"/>
      <c r="D30" s="1831"/>
      <c r="E30" s="1831"/>
      <c r="F30" s="1831"/>
      <c r="G30" s="1831"/>
      <c r="H30" s="1831"/>
      <c r="I30" s="1832"/>
      <c r="J30" s="1833"/>
      <c r="K30" s="1834"/>
      <c r="L30" s="1835">
        <v>18235586.149999999</v>
      </c>
      <c r="M30" s="1835">
        <v>16696130.74</v>
      </c>
      <c r="N30" s="1835">
        <v>16606064</v>
      </c>
      <c r="O30" s="1835">
        <v>17511061.68</v>
      </c>
      <c r="P30" s="1834">
        <v>17345244</v>
      </c>
      <c r="Q30" s="1834">
        <v>18646901</v>
      </c>
      <c r="R30" s="1834" t="e">
        <v>#REF!</v>
      </c>
      <c r="S30" s="1836" t="e">
        <v>#REF!</v>
      </c>
      <c r="T30" s="1837" t="e">
        <v>#REF!</v>
      </c>
      <c r="U30" s="1838" t="e">
        <v>#REF!</v>
      </c>
      <c r="V30" s="1838" t="e">
        <v>#REF!</v>
      </c>
      <c r="W30" s="1838" t="e">
        <v>#REF!</v>
      </c>
      <c r="X30" s="1839" t="e">
        <v>#REF!</v>
      </c>
      <c r="Y30" s="1839" t="e">
        <v>#NAME?</v>
      </c>
      <c r="Z30" s="929">
        <v>34163760.237570465</v>
      </c>
      <c r="AA30" s="1840">
        <v>36601894.289995208</v>
      </c>
      <c r="AB30" s="1844">
        <v>39890214.450911425</v>
      </c>
      <c r="AC30" s="1816">
        <v>42270387.151038028</v>
      </c>
      <c r="AD30" s="1842">
        <v>45257580.047423139</v>
      </c>
      <c r="AE30" s="1816">
        <v>45731927.600343674</v>
      </c>
      <c r="AF30" s="1816">
        <v>46526406.756527632</v>
      </c>
      <c r="AG30" s="1843">
        <v>4754065.4588735402</v>
      </c>
    </row>
    <row r="31" spans="1:34" s="1830" customFormat="1" ht="15" customHeight="1">
      <c r="A31" s="1829" t="s">
        <v>568</v>
      </c>
      <c r="B31" s="1830" t="s">
        <v>326</v>
      </c>
      <c r="C31" s="1831">
        <v>58836432</v>
      </c>
      <c r="D31" s="1831"/>
      <c r="E31" s="1831">
        <v>60355713</v>
      </c>
      <c r="F31" s="1831" t="e">
        <v>#REF!</v>
      </c>
      <c r="G31" s="1831">
        <v>60355713</v>
      </c>
      <c r="H31" s="1831"/>
      <c r="I31" s="1832"/>
      <c r="J31" s="1833" t="s">
        <v>540</v>
      </c>
      <c r="K31" s="1834"/>
      <c r="L31" s="1835">
        <v>9044464.7200000007</v>
      </c>
      <c r="M31" s="1835">
        <v>9733280.8000000007</v>
      </c>
      <c r="N31" s="1835">
        <v>9852842</v>
      </c>
      <c r="O31" s="1835">
        <v>10023308.380000001</v>
      </c>
      <c r="P31" s="1834">
        <v>10247506</v>
      </c>
      <c r="Q31" s="1834">
        <v>10500726</v>
      </c>
      <c r="R31" s="1834" t="e">
        <v>#REF!</v>
      </c>
      <c r="S31" s="1836" t="e">
        <v>#REF!</v>
      </c>
      <c r="T31" s="1837" t="e">
        <v>#REF!</v>
      </c>
      <c r="U31" s="1838" t="e">
        <v>#REF!</v>
      </c>
      <c r="V31" s="1838" t="e">
        <v>#REF!</v>
      </c>
      <c r="W31" s="1838" t="e">
        <v>#REF!</v>
      </c>
      <c r="X31" s="1839" t="e">
        <v>#REF!</v>
      </c>
      <c r="Y31" s="1839" t="e">
        <v>#NAME?</v>
      </c>
      <c r="Z31" s="929">
        <v>12572336.892191792</v>
      </c>
      <c r="AA31" s="1840">
        <v>13447340.156710597</v>
      </c>
      <c r="AB31" s="1844">
        <v>15181368.273007052</v>
      </c>
      <c r="AC31" s="1816">
        <v>17171575.332460944</v>
      </c>
      <c r="AD31" s="1842">
        <v>19089574.464310281</v>
      </c>
      <c r="AE31" s="1816">
        <v>19337677.494991507</v>
      </c>
      <c r="AF31" s="1816">
        <v>19561986.748313181</v>
      </c>
      <c r="AG31" s="1843">
        <v>2580047.8563261032</v>
      </c>
    </row>
    <row r="32" spans="1:34" s="1830" customFormat="1" ht="15" customHeight="1">
      <c r="A32" s="1829" t="s">
        <v>323</v>
      </c>
      <c r="B32" s="1830" t="s">
        <v>322</v>
      </c>
      <c r="C32" s="1836" t="e">
        <v>#REF!</v>
      </c>
      <c r="D32" s="1836" t="e">
        <v>#REF!</v>
      </c>
      <c r="E32" s="1835"/>
      <c r="F32" s="1836" t="e">
        <v>#REF!</v>
      </c>
      <c r="G32" s="1836" t="e">
        <v>#REF!</v>
      </c>
      <c r="H32" s="1836"/>
      <c r="R32" s="1836"/>
      <c r="S32" s="1836" t="e">
        <v>#REF!</v>
      </c>
      <c r="T32" s="1837" t="e">
        <v>#REF!</v>
      </c>
      <c r="U32" s="1838" t="e">
        <v>#REF!</v>
      </c>
      <c r="V32" s="1838" t="e">
        <v>#REF!</v>
      </c>
      <c r="W32" s="1838" t="e">
        <v>#REF!</v>
      </c>
      <c r="X32" s="1839" t="e">
        <v>#REF!</v>
      </c>
      <c r="Y32" s="1839" t="e">
        <v>#NAME?</v>
      </c>
      <c r="Z32" s="929">
        <v>11013602.110316297</v>
      </c>
      <c r="AA32" s="1840">
        <v>11622520.981170302</v>
      </c>
      <c r="AB32" s="1844">
        <v>12308129.251813633</v>
      </c>
      <c r="AC32" s="1816">
        <v>13127508.707104828</v>
      </c>
      <c r="AD32" s="1842">
        <v>14222928.953718072</v>
      </c>
      <c r="AE32" s="1816">
        <v>13960803.043364171</v>
      </c>
      <c r="AF32" s="1816">
        <v>13980457.552588841</v>
      </c>
      <c r="AG32" s="1843">
        <v>1006559.6101842951</v>
      </c>
    </row>
    <row r="33" spans="1:37" s="1832" customFormat="1" ht="15" customHeight="1">
      <c r="A33" s="1845">
        <v>16</v>
      </c>
      <c r="B33" s="1832" t="s">
        <v>570</v>
      </c>
      <c r="C33" s="1846"/>
      <c r="D33" s="1846"/>
      <c r="E33" s="1846"/>
      <c r="F33" s="1846"/>
      <c r="G33" s="1846"/>
      <c r="H33" s="1846"/>
      <c r="J33" s="1847"/>
      <c r="K33" s="1848"/>
      <c r="L33" s="1815">
        <v>0</v>
      </c>
      <c r="M33" s="1815">
        <v>0</v>
      </c>
      <c r="N33" s="1815">
        <v>0</v>
      </c>
      <c r="O33" s="1815">
        <v>0</v>
      </c>
      <c r="P33" s="1848">
        <v>750000</v>
      </c>
      <c r="Q33" s="1848">
        <v>366850</v>
      </c>
      <c r="R33" s="1848" t="e">
        <v>#REF!</v>
      </c>
      <c r="S33" s="1849">
        <v>0</v>
      </c>
      <c r="T33" s="1849"/>
      <c r="U33" s="1850"/>
      <c r="V33" s="1813"/>
      <c r="W33" s="1813"/>
      <c r="X33" s="1851"/>
      <c r="Y33" s="1851"/>
      <c r="Z33" s="931"/>
      <c r="AA33" s="1852"/>
      <c r="AB33" s="1853"/>
      <c r="AC33" s="1810"/>
      <c r="AD33" s="1854"/>
      <c r="AE33" s="1810"/>
      <c r="AF33" s="1810"/>
      <c r="AG33" s="1843">
        <v>0</v>
      </c>
    </row>
    <row r="34" spans="1:37" s="1830" customFormat="1" ht="15" customHeight="1">
      <c r="A34" s="1829" t="s">
        <v>571</v>
      </c>
      <c r="B34" s="1830" t="s">
        <v>572</v>
      </c>
      <c r="C34" s="1831">
        <v>13500000</v>
      </c>
      <c r="D34" s="1831"/>
      <c r="E34" s="1831">
        <v>14300000</v>
      </c>
      <c r="F34" s="1831"/>
      <c r="G34" s="1831">
        <v>14300000</v>
      </c>
      <c r="H34" s="1831"/>
      <c r="I34" s="1848"/>
      <c r="K34" s="1830" t="s">
        <v>540</v>
      </c>
      <c r="L34" s="1815">
        <v>11379225.939999999</v>
      </c>
      <c r="M34" s="1815">
        <v>12824705.390000001</v>
      </c>
      <c r="N34" s="1815">
        <v>14850000</v>
      </c>
      <c r="O34" s="1815">
        <v>13996873.829999998</v>
      </c>
      <c r="P34" s="1834">
        <v>16000000</v>
      </c>
      <c r="Q34" s="1834">
        <v>15501149</v>
      </c>
      <c r="R34" s="1834" t="e">
        <v>#REF!</v>
      </c>
      <c r="S34" s="1849" t="e">
        <v>#REF!</v>
      </c>
      <c r="T34" s="1836" t="e">
        <v>#REF!</v>
      </c>
      <c r="U34" s="1838" t="e">
        <v>#REF!</v>
      </c>
      <c r="V34" s="1855" t="e">
        <v>#REF!</v>
      </c>
      <c r="W34" s="1838" t="e">
        <v>#REF!</v>
      </c>
      <c r="X34" s="1856" t="e">
        <v>#REF!</v>
      </c>
      <c r="Y34" s="1856">
        <v>2052929</v>
      </c>
      <c r="Z34" s="929">
        <v>2052929</v>
      </c>
      <c r="AA34" s="1840">
        <v>1000000</v>
      </c>
      <c r="AB34" s="1844">
        <v>1000000</v>
      </c>
      <c r="AC34" s="1816">
        <v>500000</v>
      </c>
      <c r="AD34" s="1842">
        <v>500000</v>
      </c>
      <c r="AE34" s="1809">
        <v>500000</v>
      </c>
      <c r="AF34" s="1809">
        <v>500000</v>
      </c>
      <c r="AG34" s="1843">
        <v>0</v>
      </c>
    </row>
    <row r="35" spans="1:37" s="1830" customFormat="1" ht="15" customHeight="1">
      <c r="A35" s="1829"/>
      <c r="B35" s="1832" t="s">
        <v>1576</v>
      </c>
      <c r="C35" s="1831"/>
      <c r="D35" s="1831"/>
      <c r="E35" s="1831"/>
      <c r="F35" s="1831"/>
      <c r="G35" s="1831"/>
      <c r="H35" s="1831"/>
      <c r="I35" s="1848"/>
      <c r="L35" s="1815"/>
      <c r="M35" s="1815"/>
      <c r="N35" s="1815"/>
      <c r="O35" s="1815"/>
      <c r="P35" s="1834"/>
      <c r="Q35" s="1834"/>
      <c r="R35" s="1834"/>
      <c r="S35" s="1849"/>
      <c r="T35" s="1836"/>
      <c r="U35" s="1838"/>
      <c r="V35" s="1855"/>
      <c r="W35" s="1838"/>
      <c r="X35" s="1856"/>
      <c r="Y35" s="1856"/>
      <c r="Z35" s="929"/>
      <c r="AA35" s="1840"/>
      <c r="AB35" s="1844"/>
      <c r="AC35" s="1816">
        <v>2659653</v>
      </c>
      <c r="AD35" s="1842">
        <v>3216320</v>
      </c>
      <c r="AE35" s="1809">
        <v>3216320</v>
      </c>
      <c r="AF35" s="1809">
        <v>3216320</v>
      </c>
      <c r="AG35" s="1843">
        <v>0</v>
      </c>
    </row>
    <row r="36" spans="1:37" s="1830" customFormat="1" ht="15" customHeight="1">
      <c r="A36" s="1829" t="s">
        <v>573</v>
      </c>
      <c r="B36" s="1830" t="s">
        <v>574</v>
      </c>
      <c r="C36" s="1831"/>
      <c r="D36" s="1831"/>
      <c r="E36" s="1831"/>
      <c r="F36" s="1831"/>
      <c r="G36" s="1831"/>
      <c r="H36" s="1831"/>
      <c r="I36" s="1848"/>
      <c r="L36" s="1815">
        <v>3786028.5700000003</v>
      </c>
      <c r="M36" s="1815">
        <v>4508173.96</v>
      </c>
      <c r="N36" s="1815">
        <v>5150000</v>
      </c>
      <c r="O36" s="1815">
        <v>4924761.8900000006</v>
      </c>
      <c r="P36" s="1834">
        <v>5250000</v>
      </c>
      <c r="Q36" s="1834">
        <v>5164191</v>
      </c>
      <c r="R36" s="1834" t="e">
        <v>#REF!</v>
      </c>
      <c r="S36" s="1849" t="e">
        <v>#REF!</v>
      </c>
      <c r="T36" s="1836" t="e">
        <v>#REF!</v>
      </c>
      <c r="U36" s="1838" t="e">
        <v>#REF!</v>
      </c>
      <c r="V36" s="1855" t="e">
        <v>#REF!</v>
      </c>
      <c r="W36" s="1838" t="e">
        <v>#REF!</v>
      </c>
      <c r="X36" s="1856" t="e">
        <v>#REF!</v>
      </c>
      <c r="Y36" s="1856">
        <v>8075235.852</v>
      </c>
      <c r="Z36" s="929">
        <v>7555834.5</v>
      </c>
      <c r="AA36" s="1840">
        <v>7167000</v>
      </c>
      <c r="AB36" s="1844">
        <v>6831474.4836000018</v>
      </c>
      <c r="AC36" s="1816">
        <v>7333693.2576000011</v>
      </c>
      <c r="AD36" s="1842">
        <v>4036325.1379999984</v>
      </c>
      <c r="AE36" s="1809">
        <v>4177596.5178299979</v>
      </c>
      <c r="AF36" s="1809">
        <v>4312532.8853559066</v>
      </c>
      <c r="AG36" s="1843">
        <v>0</v>
      </c>
    </row>
    <row r="37" spans="1:37" s="1830" customFormat="1" ht="15" customHeight="1">
      <c r="A37" s="1829">
        <v>18</v>
      </c>
      <c r="B37" s="1830" t="s">
        <v>575</v>
      </c>
      <c r="C37" s="1831">
        <v>427000</v>
      </c>
      <c r="D37" s="1831"/>
      <c r="E37" s="1831">
        <v>427000</v>
      </c>
      <c r="F37" s="1831"/>
      <c r="G37" s="1831">
        <v>427000</v>
      </c>
      <c r="H37" s="1831"/>
      <c r="I37" s="1848"/>
      <c r="L37" s="1815">
        <v>525899</v>
      </c>
      <c r="M37" s="1815">
        <v>406963</v>
      </c>
      <c r="N37" s="1815">
        <v>387974</v>
      </c>
      <c r="O37" s="1815">
        <v>308183</v>
      </c>
      <c r="P37" s="1834">
        <v>618193</v>
      </c>
      <c r="Q37" s="1834">
        <v>636232</v>
      </c>
      <c r="R37" s="1834" t="e">
        <v>#REF!</v>
      </c>
      <c r="S37" s="1849" t="e">
        <v>#REF!</v>
      </c>
      <c r="T37" s="1836" t="e">
        <v>#REF!</v>
      </c>
      <c r="U37" s="1838" t="e">
        <v>#REF!</v>
      </c>
      <c r="V37" s="1855" t="e">
        <v>#REF!</v>
      </c>
      <c r="W37" s="1838" t="e">
        <v>#REF!</v>
      </c>
      <c r="X37" s="1856" t="e">
        <v>#REF!</v>
      </c>
      <c r="Y37" s="1856">
        <v>1860591.9199999997</v>
      </c>
      <c r="Z37" s="929">
        <v>1806889.4441008258</v>
      </c>
      <c r="AA37" s="1840">
        <v>1459275.93</v>
      </c>
      <c r="AB37" s="1844">
        <v>814797.02809917391</v>
      </c>
      <c r="AC37" s="1816">
        <v>1519339.8</v>
      </c>
      <c r="AD37" s="1842">
        <v>1086861.7500000002</v>
      </c>
      <c r="AE37" s="1809">
        <v>1099445.1075000002</v>
      </c>
      <c r="AF37" s="1809">
        <v>1112028.4650000001</v>
      </c>
      <c r="AG37" s="1843">
        <v>0</v>
      </c>
    </row>
    <row r="38" spans="1:37" s="1830" customFormat="1" ht="15" customHeight="1">
      <c r="A38" s="1829">
        <v>19</v>
      </c>
      <c r="B38" s="1830" t="s">
        <v>557</v>
      </c>
      <c r="C38" s="1831">
        <v>556000</v>
      </c>
      <c r="D38" s="1831"/>
      <c r="E38" s="1831">
        <v>556000</v>
      </c>
      <c r="F38" s="1831"/>
      <c r="G38" s="1831">
        <v>556000</v>
      </c>
      <c r="H38" s="1831"/>
      <c r="I38" s="1848"/>
      <c r="L38" s="1815">
        <v>669293.27</v>
      </c>
      <c r="M38" s="1815">
        <v>437074.23</v>
      </c>
      <c r="N38" s="1815">
        <v>356000</v>
      </c>
      <c r="O38" s="1815">
        <v>396616.42</v>
      </c>
      <c r="P38" s="1834">
        <v>368000</v>
      </c>
      <c r="Q38" s="1834">
        <v>342116</v>
      </c>
      <c r="R38" s="1834" t="e">
        <v>#REF!</v>
      </c>
      <c r="S38" s="1849" t="e">
        <v>#REF!</v>
      </c>
      <c r="T38" s="1836" t="e">
        <v>#REF!</v>
      </c>
      <c r="U38" s="1838" t="e">
        <v>#REF!</v>
      </c>
      <c r="V38" s="1855" t="e">
        <v>#REF!</v>
      </c>
      <c r="W38" s="1838" t="e">
        <v>#REF!</v>
      </c>
      <c r="X38" s="1856" t="e">
        <v>#REF!</v>
      </c>
      <c r="Y38" s="1856">
        <v>62150</v>
      </c>
      <c r="Z38" s="929">
        <v>62150</v>
      </c>
      <c r="AA38" s="1840">
        <v>273000</v>
      </c>
      <c r="AB38" s="1844">
        <v>231196</v>
      </c>
      <c r="AC38" s="1816">
        <v>238730</v>
      </c>
      <c r="AD38" s="1842">
        <v>399801</v>
      </c>
      <c r="AE38" s="1809">
        <v>399801</v>
      </c>
      <c r="AF38" s="1809">
        <v>399801</v>
      </c>
      <c r="AG38" s="1843">
        <v>0</v>
      </c>
    </row>
    <row r="39" spans="1:37" s="1830" customFormat="1" ht="15" customHeight="1">
      <c r="A39" s="1829">
        <v>20</v>
      </c>
      <c r="B39" s="1830" t="s">
        <v>576</v>
      </c>
      <c r="C39" s="1831">
        <v>226900</v>
      </c>
      <c r="D39" s="1831"/>
      <c r="E39" s="1831">
        <v>226900</v>
      </c>
      <c r="F39" s="1831"/>
      <c r="G39" s="1831">
        <v>226900</v>
      </c>
      <c r="H39" s="1831"/>
      <c r="I39" s="1848"/>
      <c r="L39" s="1815">
        <v>1314519</v>
      </c>
      <c r="M39" s="1815">
        <v>3138940.16</v>
      </c>
      <c r="N39" s="1815">
        <v>575000</v>
      </c>
      <c r="O39" s="1815">
        <v>2155021</v>
      </c>
      <c r="P39" s="1834">
        <v>775000</v>
      </c>
      <c r="Q39" s="1834">
        <v>12543897</v>
      </c>
      <c r="R39" s="1834" t="e">
        <v>#REF!</v>
      </c>
      <c r="S39" s="1849" t="e">
        <v>#REF!</v>
      </c>
      <c r="T39" s="1836" t="e">
        <v>#REF!</v>
      </c>
      <c r="U39" s="1838" t="e">
        <v>#REF!</v>
      </c>
      <c r="V39" s="1855" t="e">
        <v>#REF!</v>
      </c>
      <c r="W39" s="1838" t="e">
        <v>#REF!</v>
      </c>
      <c r="X39" s="1856" t="e">
        <v>#REF!</v>
      </c>
      <c r="Y39" s="1856">
        <v>3032000</v>
      </c>
      <c r="Z39" s="929">
        <v>2816500</v>
      </c>
      <c r="AA39" s="1840">
        <v>12696522</v>
      </c>
      <c r="AB39" s="1844">
        <v>3416433.27</v>
      </c>
      <c r="AC39" s="1816">
        <v>3275429.45</v>
      </c>
      <c r="AD39" s="1842">
        <v>1638446.896742</v>
      </c>
      <c r="AE39" s="1809">
        <v>3259434.3831279702</v>
      </c>
      <c r="AF39" s="1809">
        <v>3364716.1783030038</v>
      </c>
      <c r="AG39" s="1843">
        <v>0</v>
      </c>
    </row>
    <row r="40" spans="1:37" s="1830" customFormat="1" ht="15" customHeight="1">
      <c r="A40" s="1829">
        <v>21</v>
      </c>
      <c r="B40" s="1830" t="s">
        <v>577</v>
      </c>
      <c r="C40" s="1831">
        <v>3640000</v>
      </c>
      <c r="D40" s="1831"/>
      <c r="E40" s="1831">
        <v>2500000</v>
      </c>
      <c r="F40" s="1831"/>
      <c r="G40" s="1831">
        <v>2500000</v>
      </c>
      <c r="H40" s="1831"/>
      <c r="I40" s="1848"/>
      <c r="L40" s="1815">
        <v>2412007.9699999997</v>
      </c>
      <c r="M40" s="1815">
        <v>2851854</v>
      </c>
      <c r="N40" s="1815">
        <v>4075000</v>
      </c>
      <c r="O40" s="1815">
        <v>2670561.2999999998</v>
      </c>
      <c r="P40" s="1834">
        <v>3854322</v>
      </c>
      <c r="Q40" s="1834">
        <v>3060111</v>
      </c>
      <c r="R40" s="1834" t="e">
        <v>#REF!</v>
      </c>
      <c r="S40" s="1849" t="e">
        <v>#REF!</v>
      </c>
      <c r="T40" s="1836" t="e">
        <v>#REF!</v>
      </c>
      <c r="U40" s="1838" t="e">
        <v>#REF!</v>
      </c>
      <c r="V40" s="1855" t="e">
        <v>#REF!</v>
      </c>
      <c r="W40" s="1838" t="e">
        <v>#REF!</v>
      </c>
      <c r="X40" s="1856" t="e">
        <v>#REF!</v>
      </c>
      <c r="Y40" s="1856">
        <v>5068914.3339999998</v>
      </c>
      <c r="Z40" s="929">
        <v>5148453.8480000002</v>
      </c>
      <c r="AA40" s="1840">
        <v>5503077.0615069997</v>
      </c>
      <c r="AB40" s="1844">
        <v>4733071.33</v>
      </c>
      <c r="AC40" s="1816">
        <v>4576146</v>
      </c>
      <c r="AD40" s="1842">
        <v>5020543.0200000005</v>
      </c>
      <c r="AE40" s="1809">
        <v>5196263.0607000003</v>
      </c>
      <c r="AF40" s="1809">
        <v>5364102.3575606104</v>
      </c>
      <c r="AG40" s="1843">
        <v>0</v>
      </c>
    </row>
    <row r="41" spans="1:37" s="1830" customFormat="1" ht="15" customHeight="1">
      <c r="A41" s="1829">
        <v>22</v>
      </c>
      <c r="B41" s="1830" t="s">
        <v>578</v>
      </c>
      <c r="C41" s="1831">
        <v>2439124</v>
      </c>
      <c r="D41" s="1831"/>
      <c r="E41" s="1857" t="s">
        <v>579</v>
      </c>
      <c r="F41" s="1831"/>
      <c r="G41" s="1831" t="s">
        <v>580</v>
      </c>
      <c r="H41" s="1831"/>
      <c r="I41" s="1848"/>
      <c r="K41" s="1830" t="s">
        <v>540</v>
      </c>
      <c r="L41" s="1815">
        <v>1622650</v>
      </c>
      <c r="M41" s="1815">
        <v>600399</v>
      </c>
      <c r="N41" s="1815">
        <v>0</v>
      </c>
      <c r="O41" s="1815">
        <v>0</v>
      </c>
      <c r="P41" s="1834">
        <v>0</v>
      </c>
      <c r="Q41" s="1834"/>
      <c r="R41" s="1834" t="e">
        <v>#REF!</v>
      </c>
      <c r="S41" s="1836" t="e">
        <v>#REF!</v>
      </c>
      <c r="T41" s="1836" t="e">
        <v>#REF!</v>
      </c>
      <c r="U41" s="1838" t="e">
        <v>#REF!</v>
      </c>
      <c r="V41" s="1855" t="e">
        <v>#REF!</v>
      </c>
      <c r="W41" s="1838" t="e">
        <v>#REF!</v>
      </c>
      <c r="X41" s="1856" t="e">
        <v>#REF!</v>
      </c>
      <c r="Y41" s="1856" t="e">
        <v>#NAME?</v>
      </c>
      <c r="Z41" s="929">
        <v>2647591.3001932967</v>
      </c>
      <c r="AA41" s="1840">
        <v>4209056.1580504216</v>
      </c>
      <c r="AB41" s="1844">
        <v>11752774</v>
      </c>
      <c r="AC41" s="1816">
        <v>12570200.144738192</v>
      </c>
      <c r="AD41" s="1842">
        <v>11776405.303158503</v>
      </c>
      <c r="AE41" s="1809">
        <v>21562970.09866875</v>
      </c>
      <c r="AF41" s="1809">
        <v>31846273.675802853</v>
      </c>
      <c r="AG41" s="1843">
        <v>-9489487.9623644985</v>
      </c>
    </row>
    <row r="42" spans="1:37" s="1830" customFormat="1" ht="15" customHeight="1">
      <c r="A42" s="1829">
        <v>23</v>
      </c>
      <c r="B42" s="1830" t="s">
        <v>581</v>
      </c>
      <c r="C42" s="1831"/>
      <c r="D42" s="1831"/>
      <c r="E42" s="1857"/>
      <c r="F42" s="1831"/>
      <c r="G42" s="1831"/>
      <c r="H42" s="1831"/>
      <c r="I42" s="1848"/>
      <c r="L42" s="1815"/>
      <c r="M42" s="1815"/>
      <c r="N42" s="1815"/>
      <c r="O42" s="1815"/>
      <c r="P42" s="1834"/>
      <c r="Q42" s="1834"/>
      <c r="R42" s="1834" t="e">
        <v>#REF!</v>
      </c>
      <c r="S42" s="1849" t="e">
        <v>#REF!</v>
      </c>
      <c r="T42" s="1849"/>
      <c r="U42" s="1850"/>
      <c r="V42" s="1850"/>
      <c r="W42" s="1850"/>
      <c r="X42" s="1858"/>
      <c r="Y42" s="1858"/>
      <c r="Z42" s="932"/>
      <c r="AA42" s="1859"/>
      <c r="AB42" s="1860"/>
      <c r="AC42" s="1861"/>
      <c r="AD42" s="1862"/>
      <c r="AE42" s="1861"/>
      <c r="AF42" s="1861"/>
      <c r="AG42" s="1843">
        <v>0</v>
      </c>
      <c r="AK42" s="1863"/>
    </row>
    <row r="43" spans="1:37" s="1830" customFormat="1" ht="15" customHeight="1">
      <c r="A43" s="1829">
        <v>24</v>
      </c>
      <c r="B43" s="1830" t="s">
        <v>582</v>
      </c>
      <c r="C43" s="1831"/>
      <c r="D43" s="1831"/>
      <c r="E43" s="1857"/>
      <c r="F43" s="1831"/>
      <c r="G43" s="1831"/>
      <c r="H43" s="1831"/>
      <c r="I43" s="1848"/>
      <c r="L43" s="1815"/>
      <c r="M43" s="1815"/>
      <c r="N43" s="1815"/>
      <c r="O43" s="1815"/>
      <c r="P43" s="1834"/>
      <c r="Q43" s="1834"/>
      <c r="R43" s="1834" t="e">
        <v>#REF!</v>
      </c>
      <c r="S43" s="1849" t="e">
        <v>#REF!</v>
      </c>
      <c r="T43" s="1836" t="e">
        <v>#REF!</v>
      </c>
      <c r="U43" s="1838" t="e">
        <v>#REF!</v>
      </c>
      <c r="V43" s="1855" t="e">
        <v>#REF!</v>
      </c>
      <c r="W43" s="1838" t="e">
        <v>#REF!</v>
      </c>
      <c r="X43" s="1856" t="e">
        <v>#REF!</v>
      </c>
      <c r="Y43" s="1856">
        <v>2001000</v>
      </c>
      <c r="Z43" s="929">
        <v>994000</v>
      </c>
      <c r="AA43" s="1840">
        <v>1000000</v>
      </c>
      <c r="AB43" s="1844">
        <v>50000</v>
      </c>
      <c r="AC43" s="1816">
        <v>50000</v>
      </c>
      <c r="AD43" s="1842">
        <v>50000</v>
      </c>
      <c r="AE43" s="1809">
        <v>50000</v>
      </c>
      <c r="AF43" s="1809">
        <v>50000</v>
      </c>
      <c r="AG43" s="1843">
        <v>0</v>
      </c>
    </row>
    <row r="44" spans="1:37" s="1830" customFormat="1" ht="15" customHeight="1">
      <c r="A44" s="1829">
        <v>25</v>
      </c>
      <c r="B44" s="1830" t="s">
        <v>583</v>
      </c>
      <c r="C44" s="1831"/>
      <c r="D44" s="1831"/>
      <c r="E44" s="1857"/>
      <c r="F44" s="1831"/>
      <c r="G44" s="1831"/>
      <c r="H44" s="1831"/>
      <c r="I44" s="1848"/>
      <c r="L44" s="1815"/>
      <c r="M44" s="1815"/>
      <c r="N44" s="1815"/>
      <c r="O44" s="1815"/>
      <c r="P44" s="1834"/>
      <c r="Q44" s="1834"/>
      <c r="R44" s="1834" t="e">
        <v>#REF!</v>
      </c>
      <c r="S44" s="1836" t="e">
        <v>#REF!</v>
      </c>
      <c r="T44" s="1836">
        <v>0</v>
      </c>
      <c r="U44" s="1838" t="e">
        <v>#REF!</v>
      </c>
      <c r="V44" s="1855" t="e">
        <v>#REF!</v>
      </c>
      <c r="W44" s="1855" t="e">
        <v>#REF!</v>
      </c>
      <c r="X44" s="1856" t="e">
        <v>#REF!</v>
      </c>
      <c r="Y44" s="1856" t="e">
        <v>#REF!</v>
      </c>
      <c r="Z44" s="929">
        <v>0</v>
      </c>
      <c r="AA44" s="1840">
        <v>1500000</v>
      </c>
      <c r="AB44" s="1844">
        <v>0</v>
      </c>
      <c r="AC44" s="1816">
        <v>0</v>
      </c>
      <c r="AD44" s="1842">
        <v>540000</v>
      </c>
      <c r="AE44" s="1809">
        <v>1540000</v>
      </c>
      <c r="AF44" s="1809">
        <v>2040000</v>
      </c>
      <c r="AG44" s="1843">
        <v>-3867544.0063171955</v>
      </c>
      <c r="AH44" s="1830" t="s">
        <v>1667</v>
      </c>
      <c r="AJ44" s="1863"/>
    </row>
    <row r="45" spans="1:37" s="1830" customFormat="1" ht="15" customHeight="1">
      <c r="A45" s="1829">
        <v>26</v>
      </c>
      <c r="B45" s="1830" t="s">
        <v>584</v>
      </c>
      <c r="C45" s="1831">
        <v>622449</v>
      </c>
      <c r="D45" s="1831"/>
      <c r="E45" s="1831">
        <v>622449</v>
      </c>
      <c r="F45" s="1831"/>
      <c r="G45" s="1831">
        <v>622449</v>
      </c>
      <c r="H45" s="1831"/>
      <c r="I45" s="1832"/>
      <c r="L45" s="1815">
        <v>654338</v>
      </c>
      <c r="M45" s="1835">
        <v>552363.14</v>
      </c>
      <c r="N45" s="1815">
        <v>800000</v>
      </c>
      <c r="O45" s="1815">
        <v>883193.62</v>
      </c>
      <c r="P45" s="1834">
        <v>800000</v>
      </c>
      <c r="Q45" s="1834">
        <v>437462</v>
      </c>
      <c r="R45" s="1834" t="e">
        <v>#REF!</v>
      </c>
      <c r="S45" s="1849" t="e">
        <v>#REF!</v>
      </c>
      <c r="T45" s="1836" t="e">
        <v>#REF!</v>
      </c>
      <c r="U45" s="1838" t="e">
        <v>#REF!</v>
      </c>
      <c r="V45" s="1855" t="e">
        <v>#REF!</v>
      </c>
      <c r="W45" s="1838" t="e">
        <v>#REF!</v>
      </c>
      <c r="X45" s="1856" t="e">
        <v>#REF!</v>
      </c>
      <c r="Y45" s="1856">
        <v>1152155.54</v>
      </c>
      <c r="Z45" s="929">
        <v>1259045</v>
      </c>
      <c r="AA45" s="1840">
        <v>1220273</v>
      </c>
      <c r="AB45" s="1844">
        <v>1258101</v>
      </c>
      <c r="AC45" s="1816">
        <v>1236000</v>
      </c>
      <c r="AD45" s="1842">
        <v>1412605.31</v>
      </c>
      <c r="AE45" s="1809">
        <v>1462046.4958499998</v>
      </c>
      <c r="AF45" s="1809">
        <v>1509270.5976659548</v>
      </c>
      <c r="AG45" s="1843">
        <v>0</v>
      </c>
      <c r="AK45" s="1863"/>
    </row>
    <row r="46" spans="1:37" s="1830" customFormat="1" ht="15" customHeight="1">
      <c r="A46" s="1829">
        <v>27</v>
      </c>
      <c r="B46" s="1830" t="s">
        <v>585</v>
      </c>
      <c r="C46" s="1831">
        <v>301820</v>
      </c>
      <c r="D46" s="1831"/>
      <c r="E46" s="1831">
        <v>222820</v>
      </c>
      <c r="F46" s="1831"/>
      <c r="G46" s="1831">
        <v>222820</v>
      </c>
      <c r="H46" s="1831"/>
      <c r="I46" s="1832"/>
      <c r="L46" s="1815">
        <v>845400.52</v>
      </c>
      <c r="M46" s="1835">
        <v>475745.9</v>
      </c>
      <c r="N46" s="1815">
        <v>475000</v>
      </c>
      <c r="O46" s="1815">
        <v>100365.8</v>
      </c>
      <c r="P46" s="1834">
        <v>475000</v>
      </c>
      <c r="Q46" s="1834">
        <v>472008</v>
      </c>
      <c r="R46" s="1834" t="e">
        <v>#REF!</v>
      </c>
      <c r="S46" s="1849" t="e">
        <v>#REF!</v>
      </c>
      <c r="T46" s="1836" t="e">
        <v>#REF!</v>
      </c>
      <c r="U46" s="1838" t="e">
        <v>#REF!</v>
      </c>
      <c r="V46" s="1855" t="e">
        <v>#REF!</v>
      </c>
      <c r="W46" s="1838" t="e">
        <v>#REF!</v>
      </c>
      <c r="X46" s="1856" t="e">
        <v>#REF!</v>
      </c>
      <c r="Y46" s="1856">
        <v>866000</v>
      </c>
      <c r="Z46" s="929">
        <v>960000</v>
      </c>
      <c r="AA46" s="1840">
        <v>1730000</v>
      </c>
      <c r="AB46" s="1844">
        <v>680800</v>
      </c>
      <c r="AC46" s="1816">
        <v>1175000</v>
      </c>
      <c r="AD46" s="1842">
        <v>785000</v>
      </c>
      <c r="AE46" s="1809">
        <v>553725</v>
      </c>
      <c r="AF46" s="1809">
        <v>313535.3175</v>
      </c>
      <c r="AG46" s="1843">
        <v>0</v>
      </c>
    </row>
    <row r="47" spans="1:37" s="1830" customFormat="1" ht="15" customHeight="1">
      <c r="A47" s="1829">
        <v>28</v>
      </c>
      <c r="B47" s="1830" t="s">
        <v>586</v>
      </c>
      <c r="C47" s="1831">
        <v>318000</v>
      </c>
      <c r="D47" s="1831"/>
      <c r="E47" s="1831">
        <v>286324</v>
      </c>
      <c r="F47" s="1831"/>
      <c r="G47" s="1831">
        <v>286324</v>
      </c>
      <c r="H47" s="1831"/>
      <c r="I47" s="1832"/>
      <c r="K47" s="1830" t="s">
        <v>540</v>
      </c>
      <c r="L47" s="1815">
        <v>278280.99</v>
      </c>
      <c r="M47" s="1835">
        <v>286691.12</v>
      </c>
      <c r="N47" s="1815">
        <v>317704</v>
      </c>
      <c r="O47" s="1815">
        <v>364093.89999999997</v>
      </c>
      <c r="P47" s="1834">
        <v>325000</v>
      </c>
      <c r="Q47" s="1834">
        <v>309733</v>
      </c>
      <c r="R47" s="1834" t="e">
        <v>#REF!</v>
      </c>
      <c r="S47" s="1849" t="e">
        <v>#REF!</v>
      </c>
      <c r="T47" s="1836" t="e">
        <v>#REF!</v>
      </c>
      <c r="U47" s="1838" t="e">
        <v>#REF!</v>
      </c>
      <c r="V47" s="1855" t="e">
        <v>#REF!</v>
      </c>
      <c r="W47" s="1838" t="e">
        <v>#REF!</v>
      </c>
      <c r="X47" s="1856" t="e">
        <v>#REF!</v>
      </c>
      <c r="Y47" s="1856">
        <v>296743.36822613463</v>
      </c>
      <c r="Z47" s="929">
        <v>475000</v>
      </c>
      <c r="AA47" s="1840">
        <v>498000</v>
      </c>
      <c r="AB47" s="1844">
        <v>631663.5</v>
      </c>
      <c r="AC47" s="1816">
        <v>542000</v>
      </c>
      <c r="AD47" s="1842">
        <v>577000</v>
      </c>
      <c r="AE47" s="1809">
        <v>597195</v>
      </c>
      <c r="AF47" s="1809">
        <v>616484.39850000001</v>
      </c>
      <c r="AG47" s="1843">
        <v>0</v>
      </c>
    </row>
    <row r="48" spans="1:37" s="1830" customFormat="1" ht="15" customHeight="1">
      <c r="A48" s="1829">
        <v>29</v>
      </c>
      <c r="B48" s="1830" t="s">
        <v>587</v>
      </c>
      <c r="C48" s="1831">
        <v>450000</v>
      </c>
      <c r="D48" s="1831"/>
      <c r="E48" s="1831">
        <v>450000</v>
      </c>
      <c r="F48" s="1831"/>
      <c r="G48" s="1831">
        <v>450000</v>
      </c>
      <c r="H48" s="1831"/>
      <c r="I48" s="1832"/>
      <c r="L48" s="1815">
        <v>582617.8600000001</v>
      </c>
      <c r="M48" s="1835">
        <v>533662.74</v>
      </c>
      <c r="N48" s="1815">
        <v>597400</v>
      </c>
      <c r="O48" s="1815">
        <v>597664.27</v>
      </c>
      <c r="P48" s="1834">
        <v>597400</v>
      </c>
      <c r="Q48" s="1834">
        <v>362812</v>
      </c>
      <c r="R48" s="1834" t="e">
        <v>#REF!</v>
      </c>
      <c r="S48" s="1849" t="e">
        <v>#REF!</v>
      </c>
      <c r="T48" s="1836" t="e">
        <v>#REF!</v>
      </c>
      <c r="U48" s="1838" t="e">
        <v>#REF!</v>
      </c>
      <c r="V48" s="1855" t="e">
        <v>#REF!</v>
      </c>
      <c r="W48" s="1838" t="e">
        <v>#REF!</v>
      </c>
      <c r="X48" s="1856" t="e">
        <v>#REF!</v>
      </c>
      <c r="Y48" s="1856">
        <v>1923119.02</v>
      </c>
      <c r="Z48" s="929">
        <v>1820119</v>
      </c>
      <c r="AA48" s="1840">
        <v>1878800</v>
      </c>
      <c r="AB48" s="1844">
        <v>2015768</v>
      </c>
      <c r="AC48" s="1816">
        <v>2129621</v>
      </c>
      <c r="AD48" s="1842">
        <v>2286215.7905000001</v>
      </c>
      <c r="AE48" s="1809">
        <v>2366233.3431675001</v>
      </c>
      <c r="AF48" s="1809">
        <v>2442662.6801518104</v>
      </c>
      <c r="AG48" s="1843">
        <v>0</v>
      </c>
    </row>
    <row r="49" spans="1:37" s="1830" customFormat="1" ht="15" customHeight="1">
      <c r="A49" s="1829">
        <v>30</v>
      </c>
      <c r="B49" s="1830" t="s">
        <v>588</v>
      </c>
      <c r="C49" s="1831">
        <v>306900</v>
      </c>
      <c r="D49" s="1831"/>
      <c r="E49" s="1831">
        <v>306900</v>
      </c>
      <c r="F49" s="1831"/>
      <c r="G49" s="1831">
        <v>306900</v>
      </c>
      <c r="H49" s="1831"/>
      <c r="I49" s="1832"/>
      <c r="L49" s="1815">
        <v>326754.89</v>
      </c>
      <c r="M49" s="1835">
        <v>328588.40999999997</v>
      </c>
      <c r="N49" s="1815">
        <v>306900</v>
      </c>
      <c r="O49" s="1815">
        <v>329552.63999999996</v>
      </c>
      <c r="P49" s="1834">
        <v>306900</v>
      </c>
      <c r="Q49" s="1834">
        <v>298147</v>
      </c>
      <c r="R49" s="1834" t="e">
        <v>#REF!</v>
      </c>
      <c r="S49" s="1849" t="e">
        <v>#REF!</v>
      </c>
      <c r="T49" s="1836" t="e">
        <v>#REF!</v>
      </c>
      <c r="U49" s="1838" t="e">
        <v>#REF!</v>
      </c>
      <c r="V49" s="1855" t="e">
        <v>#REF!</v>
      </c>
      <c r="W49" s="1855" t="e">
        <v>#REF!</v>
      </c>
      <c r="X49" s="1856" t="e">
        <v>#REF!</v>
      </c>
      <c r="Y49" s="1856">
        <v>0</v>
      </c>
      <c r="Z49" s="929"/>
      <c r="AA49" s="1864"/>
      <c r="AB49" s="1844">
        <v>0</v>
      </c>
      <c r="AC49" s="1816"/>
      <c r="AD49" s="1842"/>
      <c r="AE49" s="1809"/>
      <c r="AF49" s="1809"/>
      <c r="AG49" s="1843">
        <v>0</v>
      </c>
    </row>
    <row r="50" spans="1:37" s="1830" customFormat="1" ht="15" customHeight="1">
      <c r="A50" s="1829">
        <v>31</v>
      </c>
      <c r="B50" s="1830" t="s">
        <v>589</v>
      </c>
      <c r="C50" s="1831">
        <v>1228000</v>
      </c>
      <c r="D50" s="1831"/>
      <c r="E50" s="1831">
        <v>1228000</v>
      </c>
      <c r="F50" s="1831"/>
      <c r="G50" s="1831">
        <v>1228000</v>
      </c>
      <c r="H50" s="1831"/>
      <c r="I50" s="1865"/>
      <c r="L50" s="1815">
        <v>1500000</v>
      </c>
      <c r="M50" s="1835">
        <v>1500000</v>
      </c>
      <c r="N50" s="1815">
        <v>1500000</v>
      </c>
      <c r="O50" s="1815">
        <v>1500000</v>
      </c>
      <c r="P50" s="1834">
        <v>1500000</v>
      </c>
      <c r="Q50" s="1834">
        <v>1500000</v>
      </c>
      <c r="R50" s="1834" t="e">
        <v>#REF!</v>
      </c>
      <c r="S50" s="1849" t="e">
        <v>#REF!</v>
      </c>
      <c r="T50" s="1836" t="e">
        <v>#REF!</v>
      </c>
      <c r="U50" s="1838" t="e">
        <v>#REF!</v>
      </c>
      <c r="V50" s="1855" t="e">
        <v>#REF!</v>
      </c>
      <c r="W50" s="1855">
        <v>0</v>
      </c>
      <c r="X50" s="1856">
        <v>0</v>
      </c>
      <c r="Y50" s="1856">
        <v>0</v>
      </c>
      <c r="Z50" s="929"/>
      <c r="AA50" s="1864"/>
      <c r="AB50" s="1844">
        <v>0</v>
      </c>
      <c r="AC50" s="1816"/>
      <c r="AD50" s="1842"/>
      <c r="AE50" s="1809"/>
      <c r="AF50" s="1809"/>
      <c r="AG50" s="1843">
        <v>0</v>
      </c>
      <c r="AJ50" s="1843"/>
    </row>
    <row r="51" spans="1:37" s="1830" customFormat="1" ht="15" customHeight="1">
      <c r="A51" s="1829">
        <v>32</v>
      </c>
      <c r="B51" s="1830" t="s">
        <v>590</v>
      </c>
      <c r="C51" s="1857"/>
      <c r="D51" s="1831"/>
      <c r="E51" s="1857"/>
      <c r="F51" s="1831"/>
      <c r="G51" s="1831" t="s">
        <v>540</v>
      </c>
      <c r="H51" s="1831"/>
      <c r="I51" s="1865"/>
      <c r="L51" s="1866">
        <v>33998.449999999997</v>
      </c>
      <c r="M51" s="1867">
        <v>34060.83</v>
      </c>
      <c r="N51" s="1866">
        <v>50000</v>
      </c>
      <c r="O51" s="1866">
        <v>38114</v>
      </c>
      <c r="P51" s="1867">
        <v>50000</v>
      </c>
      <c r="Q51" s="1867">
        <v>41847</v>
      </c>
      <c r="R51" s="1867" t="e">
        <v>#REF!</v>
      </c>
      <c r="S51" s="1868" t="e">
        <v>#REF!</v>
      </c>
      <c r="T51" s="1869" t="e">
        <v>#REF!</v>
      </c>
      <c r="U51" s="1838" t="e">
        <v>#REF!</v>
      </c>
      <c r="V51" s="1870" t="e">
        <v>#REF!</v>
      </c>
      <c r="W51" s="1870" t="e">
        <v>#REF!</v>
      </c>
      <c r="X51" s="1871" t="e">
        <v>#REF!</v>
      </c>
      <c r="Y51" s="1871">
        <v>60000</v>
      </c>
      <c r="Z51" s="1006">
        <v>60000</v>
      </c>
      <c r="AA51" s="1872">
        <v>60000</v>
      </c>
      <c r="AB51" s="1873">
        <v>70000</v>
      </c>
      <c r="AC51" s="1874">
        <v>72100</v>
      </c>
      <c r="AD51" s="1875">
        <v>74263</v>
      </c>
      <c r="AE51" s="1876">
        <v>76862.204999999987</v>
      </c>
      <c r="AF51" s="1876">
        <v>79344.854221499991</v>
      </c>
      <c r="AG51" s="1843">
        <v>0</v>
      </c>
    </row>
    <row r="52" spans="1:37" s="1830" customFormat="1" ht="15" customHeight="1">
      <c r="A52" s="1829"/>
      <c r="C52" s="1857"/>
      <c r="D52" s="1831"/>
      <c r="E52" s="1857"/>
      <c r="F52" s="1831"/>
      <c r="G52" s="1831"/>
      <c r="H52" s="1831"/>
      <c r="I52" s="1865"/>
      <c r="L52" s="1877"/>
      <c r="M52" s="1878"/>
      <c r="N52" s="1877"/>
      <c r="O52" s="1877"/>
      <c r="P52" s="1879"/>
      <c r="Q52" s="1879"/>
      <c r="R52" s="1879"/>
      <c r="S52" s="1880"/>
      <c r="T52" s="1880"/>
      <c r="U52" s="1881"/>
      <c r="V52" s="1881"/>
      <c r="W52" s="1881"/>
      <c r="X52" s="1882"/>
      <c r="Y52" s="1882"/>
      <c r="Z52" s="933"/>
      <c r="AA52" s="1883"/>
      <c r="AB52" s="1436"/>
      <c r="AC52" s="1884"/>
      <c r="AD52" s="1885"/>
      <c r="AE52" s="1886"/>
      <c r="AF52" s="1886"/>
    </row>
    <row r="53" spans="1:37" s="1830" customFormat="1" ht="15" customHeight="1" thickBot="1">
      <c r="A53" s="1829">
        <v>33</v>
      </c>
      <c r="B53" s="1830" t="s">
        <v>591</v>
      </c>
      <c r="C53" s="1831" t="e">
        <v>#REF!</v>
      </c>
      <c r="D53" s="1831"/>
      <c r="E53" s="1831">
        <v>81482106</v>
      </c>
      <c r="F53" s="1831" t="e">
        <v>#REF!</v>
      </c>
      <c r="G53" s="1831" t="e">
        <v>#REF!</v>
      </c>
      <c r="H53" s="1831"/>
      <c r="I53" s="1832"/>
      <c r="L53" s="1887">
        <v>89456684.049999982</v>
      </c>
      <c r="M53" s="1888">
        <v>88284051.980000004</v>
      </c>
      <c r="N53" s="1887">
        <v>89547942</v>
      </c>
      <c r="O53" s="1887">
        <v>90796903.560000002</v>
      </c>
      <c r="P53" s="1887">
        <v>94269156</v>
      </c>
      <c r="Q53" s="1887">
        <v>106277885</v>
      </c>
      <c r="R53" s="1887" t="e">
        <v>#REF!</v>
      </c>
      <c r="S53" s="1889" t="e">
        <v>#REF!</v>
      </c>
      <c r="T53" s="1889" t="e">
        <v>#REF!</v>
      </c>
      <c r="U53" s="1890" t="e">
        <v>#REF!</v>
      </c>
      <c r="V53" s="1890" t="e">
        <v>#REF!</v>
      </c>
      <c r="W53" s="1890" t="e">
        <v>#REF!</v>
      </c>
      <c r="X53" s="1891" t="e">
        <v>#REF!</v>
      </c>
      <c r="Y53" s="1891" t="e">
        <v>#NAME?</v>
      </c>
      <c r="Z53" s="930">
        <v>134673374.41308409</v>
      </c>
      <c r="AA53" s="1892">
        <v>156803421.57418844</v>
      </c>
      <c r="AB53" s="1435">
        <v>163740346.0528087</v>
      </c>
      <c r="AC53" s="1887">
        <v>177330817.7110123</v>
      </c>
      <c r="AD53" s="1893">
        <v>185092860.17815119</v>
      </c>
      <c r="AE53" s="1894">
        <v>198674902.0078277</v>
      </c>
      <c r="AF53" s="1894">
        <v>211363346.03036952</v>
      </c>
      <c r="AK53" s="1830">
        <v>44.4</v>
      </c>
    </row>
    <row r="54" spans="1:37" ht="15" customHeight="1" thickTop="1">
      <c r="A54" s="121"/>
      <c r="C54" s="126"/>
      <c r="D54" s="126"/>
      <c r="E54" s="126"/>
      <c r="F54" s="126"/>
      <c r="G54" s="126"/>
      <c r="H54" s="126"/>
      <c r="L54" s="136"/>
      <c r="M54" s="142"/>
      <c r="N54" s="136"/>
      <c r="O54" s="136"/>
      <c r="S54" s="168"/>
      <c r="T54" s="168"/>
      <c r="U54" s="203"/>
      <c r="V54" s="203"/>
      <c r="W54" s="203"/>
      <c r="X54" s="768"/>
      <c r="Y54" s="846"/>
      <c r="Z54" s="934"/>
      <c r="AA54" s="1010"/>
      <c r="AB54" s="1437"/>
      <c r="AC54" s="136"/>
      <c r="AD54" s="1443"/>
      <c r="AE54" s="728"/>
      <c r="AF54" s="728"/>
      <c r="AH54" s="29"/>
      <c r="AK54" s="2">
        <v>27.8</v>
      </c>
    </row>
    <row r="55" spans="1:37" ht="15" customHeight="1">
      <c r="A55" s="121">
        <v>34</v>
      </c>
      <c r="B55" s="2" t="s">
        <v>592</v>
      </c>
      <c r="C55" s="126" t="e">
        <v>#REF!</v>
      </c>
      <c r="D55" s="126"/>
      <c r="E55" s="126">
        <v>4683339</v>
      </c>
      <c r="F55" s="126" t="e">
        <v>#REF!</v>
      </c>
      <c r="G55" s="126" t="e">
        <v>#REF!</v>
      </c>
      <c r="H55" s="126"/>
      <c r="L55" s="125">
        <v>-294427.98000000417</v>
      </c>
      <c r="M55" s="13">
        <v>311168.01999999583</v>
      </c>
      <c r="N55" s="125">
        <v>184358</v>
      </c>
      <c r="O55" s="125" t="e">
        <v>#REF!</v>
      </c>
      <c r="P55" s="125" t="e">
        <v>#REF!</v>
      </c>
      <c r="Q55" s="125">
        <v>-47681</v>
      </c>
      <c r="R55" s="125" t="e">
        <v>#REF!</v>
      </c>
      <c r="S55" s="172" t="e">
        <v>#REF!</v>
      </c>
      <c r="T55" s="172" t="e">
        <v>#REF!</v>
      </c>
      <c r="U55" s="207" t="e">
        <v>#REF!</v>
      </c>
      <c r="V55" s="207" t="e">
        <v>#REF!</v>
      </c>
      <c r="W55" s="207" t="e">
        <v>#REF!</v>
      </c>
      <c r="X55" s="769" t="e">
        <v>#REF!</v>
      </c>
      <c r="Y55" s="847" t="e">
        <v>#NAME?</v>
      </c>
      <c r="Z55" s="935">
        <v>-4.1102997958660126</v>
      </c>
      <c r="AA55" s="1011">
        <v>0.3897002637386322</v>
      </c>
      <c r="AB55" s="1438">
        <v>4.6688722372055054</v>
      </c>
      <c r="AC55" s="125">
        <v>0.16887220740318298</v>
      </c>
      <c r="AD55" s="1827">
        <v>2000000.168872267</v>
      </c>
      <c r="AE55" s="729">
        <v>0.16887223720550537</v>
      </c>
      <c r="AF55" s="729">
        <v>-0.33112776279449463</v>
      </c>
      <c r="AH55" s="29"/>
      <c r="AK55" s="2">
        <v>16.599999999999998</v>
      </c>
    </row>
    <row r="56" spans="1:37" ht="15" customHeight="1" thickBot="1">
      <c r="B56" s="2" t="s">
        <v>593</v>
      </c>
      <c r="C56" s="126"/>
      <c r="D56" s="126"/>
      <c r="E56" s="126"/>
      <c r="F56" s="126"/>
      <c r="G56" s="126"/>
      <c r="H56" s="126"/>
      <c r="L56" s="126"/>
      <c r="M56" s="126"/>
      <c r="N56" s="126"/>
      <c r="O56" s="126"/>
      <c r="R56" s="135"/>
      <c r="S56" s="173"/>
      <c r="T56" s="173"/>
      <c r="U56" s="208"/>
      <c r="V56" s="208"/>
      <c r="W56" s="208"/>
      <c r="X56" s="770"/>
      <c r="Y56" s="848"/>
      <c r="Z56" s="936"/>
      <c r="AA56" s="1012"/>
      <c r="AB56" s="1439"/>
      <c r="AC56" s="381"/>
      <c r="AD56" s="1825" t="s">
        <v>1769</v>
      </c>
      <c r="AE56" s="1826"/>
      <c r="AF56" s="210"/>
      <c r="AH56" s="29"/>
    </row>
    <row r="57" spans="1:37" ht="15" customHeight="1">
      <c r="C57" s="126"/>
      <c r="D57" s="126"/>
      <c r="E57" s="126"/>
      <c r="F57" s="126"/>
      <c r="G57" s="126"/>
      <c r="H57" s="126"/>
      <c r="L57" s="126"/>
      <c r="M57" s="126"/>
      <c r="N57" s="126"/>
      <c r="O57" s="126"/>
      <c r="AA57" s="762"/>
      <c r="AB57" s="850"/>
      <c r="AE57" s="1160"/>
    </row>
    <row r="58" spans="1:37" ht="15" customHeight="1">
      <c r="B58" s="71" t="s">
        <v>948</v>
      </c>
      <c r="C58" s="126"/>
      <c r="D58" s="126"/>
      <c r="E58" s="126"/>
      <c r="F58" s="126"/>
      <c r="G58" s="126"/>
      <c r="H58" s="126"/>
      <c r="L58" s="135">
        <v>25931014.459999997</v>
      </c>
      <c r="M58" s="135">
        <v>28479221.879999999</v>
      </c>
      <c r="N58" s="135"/>
      <c r="O58" s="135"/>
      <c r="P58" s="135"/>
      <c r="Q58" s="135"/>
      <c r="R58" s="135"/>
      <c r="S58" s="29"/>
      <c r="T58" s="29"/>
      <c r="X58" s="28" t="e">
        <v>#REF!</v>
      </c>
      <c r="Y58" s="28" t="e">
        <v>#REF!</v>
      </c>
      <c r="Z58" s="28">
        <v>27846769.866494656</v>
      </c>
      <c r="AA58" s="28">
        <v>44043580.708739087</v>
      </c>
      <c r="AB58" s="28">
        <v>57220694.850488096</v>
      </c>
      <c r="AC58" s="365">
        <v>71089545.238780886</v>
      </c>
      <c r="AD58" s="28">
        <v>78086753.142962858</v>
      </c>
      <c r="AE58" s="28">
        <v>91643511.059691414</v>
      </c>
    </row>
    <row r="59" spans="1:37" ht="15" customHeight="1">
      <c r="L59" s="148"/>
      <c r="M59" s="126"/>
      <c r="U59" s="39"/>
      <c r="AA59" s="762"/>
      <c r="AB59" s="850"/>
      <c r="AE59" s="1160"/>
    </row>
    <row r="60" spans="1:37" ht="15" customHeight="1">
      <c r="B60" s="71" t="s">
        <v>884</v>
      </c>
      <c r="L60" s="148"/>
      <c r="M60" s="126"/>
      <c r="U60" s="39"/>
      <c r="W60" s="28">
        <v>20625632</v>
      </c>
      <c r="X60" s="29">
        <v>19601578</v>
      </c>
      <c r="Y60" s="29">
        <v>19703765</v>
      </c>
      <c r="Z60" s="29">
        <v>20124128</v>
      </c>
      <c r="AA60" s="29">
        <v>22368386</v>
      </c>
      <c r="AB60" s="29">
        <v>32185619</v>
      </c>
      <c r="AC60" s="385">
        <v>33882786</v>
      </c>
      <c r="AD60" s="29">
        <v>33882786.168872207</v>
      </c>
      <c r="AE60" s="29">
        <v>35882786.337744474</v>
      </c>
    </row>
    <row r="61" spans="1:37" ht="15" customHeight="1">
      <c r="B61" s="71" t="s">
        <v>885</v>
      </c>
      <c r="L61" s="148"/>
      <c r="M61" s="126"/>
      <c r="W61" s="28" t="e">
        <v>#REF!</v>
      </c>
      <c r="X61" s="29" t="e">
        <v>#REF!</v>
      </c>
      <c r="Y61" s="29" t="e">
        <v>#NAME?</v>
      </c>
      <c r="Z61" s="29">
        <v>-4.1102997958660126</v>
      </c>
      <c r="AA61" s="29">
        <v>0.3897002637386322</v>
      </c>
      <c r="AB61" s="29">
        <v>4.6688722372055054</v>
      </c>
      <c r="AC61" s="385">
        <v>0.16887220740318298</v>
      </c>
      <c r="AD61" s="29">
        <v>2000000.168872267</v>
      </c>
      <c r="AE61" s="29">
        <v>0.16887223720550537</v>
      </c>
    </row>
    <row r="62" spans="1:37" ht="15" customHeight="1">
      <c r="B62" s="71" t="s">
        <v>886</v>
      </c>
      <c r="L62" s="148"/>
      <c r="M62" s="126"/>
      <c r="W62" s="28" t="e">
        <v>#REF!</v>
      </c>
      <c r="X62" s="28" t="e">
        <v>#REF!</v>
      </c>
      <c r="Y62" s="28" t="e">
        <v>#NAME?</v>
      </c>
      <c r="Z62" s="28">
        <v>20124123.889700204</v>
      </c>
      <c r="AA62" s="28">
        <v>22368386.389700264</v>
      </c>
      <c r="AB62" s="28">
        <v>32185623.668872237</v>
      </c>
      <c r="AC62" s="365">
        <v>33882786.168872207</v>
      </c>
      <c r="AD62" s="28">
        <v>35882786.337744474</v>
      </c>
      <c r="AE62" s="28">
        <v>35882786.506616712</v>
      </c>
      <c r="AG62" s="39">
        <v>151693072.9697507</v>
      </c>
    </row>
    <row r="63" spans="1:37" ht="15" customHeight="1">
      <c r="L63" s="148"/>
      <c r="M63" s="126"/>
      <c r="AA63" s="762"/>
      <c r="AB63" s="850"/>
      <c r="AE63" s="1160"/>
      <c r="AG63" s="39">
        <v>11776405.303158503</v>
      </c>
    </row>
    <row r="64" spans="1:37" ht="15" customHeight="1">
      <c r="B64" s="661" t="s">
        <v>1173</v>
      </c>
      <c r="L64" s="148"/>
      <c r="M64" s="126"/>
      <c r="W64" s="28" t="e">
        <v>#REF!</v>
      </c>
      <c r="X64" s="28" t="e">
        <v>#REF!</v>
      </c>
      <c r="Y64" s="28" t="e">
        <v>#NAME?</v>
      </c>
      <c r="Z64" s="28">
        <v>9427136.2089158874</v>
      </c>
      <c r="AA64" s="28">
        <v>14112307.941676959</v>
      </c>
      <c r="AB64" s="28">
        <v>18011438.065808956</v>
      </c>
      <c r="AC64" s="365">
        <v>23053006.302431602</v>
      </c>
      <c r="AD64" s="1811">
        <v>27763929.026722677</v>
      </c>
      <c r="AE64" s="28">
        <v>29801235.301174153</v>
      </c>
      <c r="AG64" s="39">
        <v>540000</v>
      </c>
    </row>
    <row r="65" spans="2:33" ht="15" customHeight="1">
      <c r="L65" s="71"/>
      <c r="M65" s="126"/>
      <c r="Y65" s="921">
        <v>0.05</v>
      </c>
      <c r="Z65" s="921">
        <v>7.0000000000000007E-2</v>
      </c>
      <c r="AA65" s="921">
        <v>0.09</v>
      </c>
      <c r="AB65" s="921">
        <v>0.11</v>
      </c>
      <c r="AC65" s="1306">
        <v>0.13</v>
      </c>
      <c r="AD65" s="921">
        <v>0.15</v>
      </c>
      <c r="AE65" s="921">
        <v>0.15</v>
      </c>
      <c r="AG65" s="39">
        <v>164009478.27290919</v>
      </c>
    </row>
    <row r="66" spans="2:33" ht="15" customHeight="1">
      <c r="B66" s="141" t="s">
        <v>1504</v>
      </c>
      <c r="C66" s="1"/>
      <c r="D66" s="1"/>
      <c r="E66" s="1"/>
      <c r="F66" s="72"/>
      <c r="G66" s="72"/>
      <c r="H66" s="72"/>
      <c r="I66" s="149"/>
      <c r="J66" s="1"/>
      <c r="K66" s="1"/>
      <c r="L66" s="71"/>
      <c r="M66" s="126"/>
      <c r="X66" s="29"/>
      <c r="Y66" s="29"/>
      <c r="Z66" s="29"/>
      <c r="AA66" s="29"/>
      <c r="AC66" s="385">
        <v>10829779.866440605</v>
      </c>
      <c r="AD66" s="29">
        <v>8118857.3110217974</v>
      </c>
      <c r="AE66" s="29">
        <v>6081551.205442559</v>
      </c>
    </row>
    <row r="67" spans="2:33" ht="15" customHeight="1">
      <c r="L67" s="71"/>
      <c r="M67" s="126"/>
    </row>
    <row r="68" spans="2:33" ht="15" customHeight="1">
      <c r="L68" s="150"/>
      <c r="M68" s="126"/>
      <c r="AC68" s="1236" t="s">
        <v>1532</v>
      </c>
    </row>
    <row r="69" spans="2:33" ht="13.5" customHeight="1">
      <c r="B69" s="3"/>
      <c r="C69" s="1"/>
      <c r="D69" s="1"/>
      <c r="E69" s="1"/>
      <c r="F69" s="72"/>
      <c r="G69" s="72"/>
      <c r="H69" s="72"/>
      <c r="I69" s="149"/>
      <c r="J69" s="1"/>
      <c r="K69" s="1"/>
      <c r="L69" s="151"/>
      <c r="M69" s="126"/>
    </row>
    <row r="70" spans="2:33" ht="15" customHeight="1">
      <c r="M70" s="126"/>
    </row>
    <row r="71" spans="2:33" ht="15" customHeight="1">
      <c r="M71" s="126"/>
    </row>
    <row r="72" spans="2:33" ht="15" customHeight="1">
      <c r="M72" s="126"/>
    </row>
    <row r="73" spans="2:33" ht="15" customHeight="1">
      <c r="M73" s="126"/>
      <c r="AD73" s="29"/>
      <c r="AE73" s="29"/>
      <c r="AF73" s="29"/>
    </row>
    <row r="74" spans="2:33" ht="15" customHeight="1">
      <c r="M74" s="126"/>
    </row>
    <row r="75" spans="2:33" ht="15" customHeight="1">
      <c r="M75" s="126"/>
    </row>
    <row r="76" spans="2:33" ht="15" customHeight="1">
      <c r="M76" s="126"/>
    </row>
    <row r="77" spans="2:33" ht="15" customHeight="1">
      <c r="M77" s="126"/>
    </row>
    <row r="78" spans="2:33" ht="15" customHeight="1">
      <c r="M78" s="126"/>
    </row>
    <row r="79" spans="2:33" ht="15" customHeight="1">
      <c r="M79" s="126"/>
    </row>
    <row r="80" spans="2:33" ht="15" customHeight="1">
      <c r="M80" s="126"/>
    </row>
    <row r="81" spans="13:13" ht="15" customHeight="1">
      <c r="M81" s="126"/>
    </row>
    <row r="82" spans="13:13" ht="15" customHeight="1">
      <c r="M82" s="126"/>
    </row>
    <row r="83" spans="13:13" ht="15" customHeight="1">
      <c r="M83" s="126"/>
    </row>
    <row r="84" spans="13:13" ht="15" customHeight="1">
      <c r="M84" s="126"/>
    </row>
    <row r="85" spans="13:13" ht="15" customHeight="1">
      <c r="M85" s="126"/>
    </row>
    <row r="86" spans="13:13" ht="15" customHeight="1">
      <c r="M86" s="126"/>
    </row>
    <row r="87" spans="13:13" ht="15" customHeight="1">
      <c r="M87" s="126"/>
    </row>
    <row r="88" spans="13:13" ht="15" customHeight="1">
      <c r="M88" s="126"/>
    </row>
    <row r="89" spans="13:13" ht="15" customHeight="1">
      <c r="M89" s="126"/>
    </row>
    <row r="90" spans="13:13" ht="15" customHeight="1">
      <c r="M90" s="126"/>
    </row>
    <row r="91" spans="13:13" ht="15" customHeight="1">
      <c r="M91" s="126"/>
    </row>
    <row r="92" spans="13:13" ht="15" customHeight="1">
      <c r="M92" s="126"/>
    </row>
    <row r="93" spans="13:13" ht="15" customHeight="1">
      <c r="M93" s="126"/>
    </row>
    <row r="94" spans="13:13" ht="15" customHeight="1">
      <c r="M94" s="126"/>
    </row>
    <row r="95" spans="13:13" ht="15" customHeight="1">
      <c r="M95" s="126"/>
    </row>
    <row r="96" spans="13:13" ht="15" customHeight="1">
      <c r="M96" s="126"/>
    </row>
    <row r="97" spans="13:13" ht="15" customHeight="1">
      <c r="M97" s="126"/>
    </row>
    <row r="98" spans="13:13" ht="15" customHeight="1">
      <c r="M98" s="126"/>
    </row>
    <row r="99" spans="13:13" ht="15" customHeight="1">
      <c r="M99" s="126"/>
    </row>
    <row r="100" spans="13:13" ht="15" customHeight="1">
      <c r="M100" s="126"/>
    </row>
    <row r="101" spans="13:13" ht="15" customHeight="1">
      <c r="M101" s="126"/>
    </row>
    <row r="102" spans="13:13" ht="15" customHeight="1">
      <c r="M102" s="126"/>
    </row>
    <row r="103" spans="13:13" ht="15" customHeight="1">
      <c r="M103" s="126"/>
    </row>
    <row r="104" spans="13:13" ht="15" customHeight="1">
      <c r="M104" s="126"/>
    </row>
    <row r="105" spans="13:13" ht="15" customHeight="1">
      <c r="M105" s="126"/>
    </row>
    <row r="106" spans="13:13" ht="15" customHeight="1">
      <c r="M106" s="126"/>
    </row>
    <row r="107" spans="13:13" ht="15" customHeight="1">
      <c r="M107" s="126"/>
    </row>
    <row r="108" spans="13:13" ht="15" customHeight="1">
      <c r="M108" s="126"/>
    </row>
    <row r="109" spans="13:13" ht="15" customHeight="1">
      <c r="M109" s="126"/>
    </row>
    <row r="110" spans="13:13" ht="15" customHeight="1">
      <c r="M110" s="126"/>
    </row>
    <row r="111" spans="13:13" ht="15" customHeight="1">
      <c r="M111" s="126"/>
    </row>
    <row r="112" spans="13:13" ht="15" customHeight="1">
      <c r="M112" s="126"/>
    </row>
    <row r="113" spans="13:13" ht="15" customHeight="1">
      <c r="M113" s="126"/>
    </row>
    <row r="114" spans="13:13" ht="15" customHeight="1">
      <c r="M114" s="126"/>
    </row>
    <row r="115" spans="13:13" ht="15" customHeight="1">
      <c r="M115" s="126"/>
    </row>
    <row r="116" spans="13:13" ht="15" customHeight="1">
      <c r="M116" s="126"/>
    </row>
    <row r="117" spans="13:13" ht="15" customHeight="1">
      <c r="M117" s="126"/>
    </row>
    <row r="118" spans="13:13" ht="15" customHeight="1">
      <c r="M118" s="126"/>
    </row>
    <row r="119" spans="13:13" ht="15" customHeight="1">
      <c r="M119" s="126"/>
    </row>
    <row r="120" spans="13:13" ht="15" customHeight="1">
      <c r="M120" s="126"/>
    </row>
    <row r="121" spans="13:13" ht="15" customHeight="1">
      <c r="M121" s="126"/>
    </row>
    <row r="122" spans="13:13" ht="15" customHeight="1">
      <c r="M122" s="126"/>
    </row>
    <row r="123" spans="13:13" ht="15" customHeight="1">
      <c r="M123" s="126"/>
    </row>
    <row r="124" spans="13:13" ht="15" customHeight="1">
      <c r="M124" s="126"/>
    </row>
    <row r="125" spans="13:13" ht="15" customHeight="1">
      <c r="M125" s="126"/>
    </row>
    <row r="126" spans="13:13" ht="15" customHeight="1">
      <c r="M126" s="126"/>
    </row>
    <row r="127" spans="13:13" ht="15" customHeight="1">
      <c r="M127" s="126"/>
    </row>
    <row r="128" spans="13:13" ht="15" customHeight="1">
      <c r="M128" s="126"/>
    </row>
    <row r="129" spans="13:13" ht="15" customHeight="1">
      <c r="M129" s="126"/>
    </row>
    <row r="130" spans="13:13" ht="15" customHeight="1">
      <c r="M130" s="126"/>
    </row>
    <row r="131" spans="13:13" ht="15" customHeight="1">
      <c r="M131" s="126"/>
    </row>
    <row r="132" spans="13:13" ht="15" customHeight="1">
      <c r="M132" s="126"/>
    </row>
    <row r="133" spans="13:13" ht="15" customHeight="1">
      <c r="M133" s="126"/>
    </row>
    <row r="134" spans="13:13" ht="15" customHeight="1">
      <c r="M134" s="126"/>
    </row>
    <row r="135" spans="13:13" ht="15" customHeight="1">
      <c r="M135" s="126"/>
    </row>
    <row r="136" spans="13:13" ht="15" customHeight="1">
      <c r="M136" s="126"/>
    </row>
    <row r="137" spans="13:13" ht="15" customHeight="1">
      <c r="M137" s="126"/>
    </row>
    <row r="138" spans="13:13" ht="15" customHeight="1">
      <c r="M138" s="126"/>
    </row>
    <row r="139" spans="13:13" ht="15" customHeight="1">
      <c r="M139" s="126"/>
    </row>
    <row r="140" spans="13:13" ht="15" customHeight="1">
      <c r="M140" s="126"/>
    </row>
    <row r="141" spans="13:13" ht="15" customHeight="1">
      <c r="M141" s="126"/>
    </row>
    <row r="142" spans="13:13" ht="15" customHeight="1">
      <c r="M142" s="126"/>
    </row>
    <row r="143" spans="13:13" ht="15" customHeight="1">
      <c r="M143" s="126"/>
    </row>
    <row r="144" spans="13:13" ht="15" customHeight="1">
      <c r="M144" s="126"/>
    </row>
    <row r="145" spans="13:13" ht="15" customHeight="1">
      <c r="M145" s="126"/>
    </row>
    <row r="146" spans="13:13" ht="15" customHeight="1">
      <c r="M146" s="126"/>
    </row>
    <row r="147" spans="13:13" ht="15" customHeight="1">
      <c r="M147" s="126"/>
    </row>
    <row r="148" spans="13:13" ht="15" customHeight="1">
      <c r="M148" s="126"/>
    </row>
    <row r="149" spans="13:13" ht="15" customHeight="1">
      <c r="M149" s="126"/>
    </row>
    <row r="150" spans="13:13" ht="15" customHeight="1">
      <c r="M150" s="126"/>
    </row>
    <row r="151" spans="13:13" ht="15" customHeight="1">
      <c r="M151" s="126"/>
    </row>
    <row r="152" spans="13:13" ht="15" customHeight="1">
      <c r="M152" s="126"/>
    </row>
    <row r="153" spans="13:13" ht="15" customHeight="1">
      <c r="M153" s="126"/>
    </row>
    <row r="154" spans="13:13" ht="15" customHeight="1">
      <c r="M154" s="126"/>
    </row>
    <row r="155" spans="13:13" ht="15" customHeight="1">
      <c r="M155" s="126"/>
    </row>
    <row r="156" spans="13:13" ht="15" customHeight="1">
      <c r="M156" s="126"/>
    </row>
    <row r="157" spans="13:13" ht="15" customHeight="1">
      <c r="M157" s="126"/>
    </row>
    <row r="158" spans="13:13" ht="15" customHeight="1">
      <c r="M158" s="126"/>
    </row>
    <row r="159" spans="13:13" ht="15" customHeight="1">
      <c r="M159" s="126"/>
    </row>
    <row r="160" spans="13:13" ht="15" customHeight="1">
      <c r="M160" s="126"/>
    </row>
    <row r="161" spans="13:13" ht="15" customHeight="1">
      <c r="M161" s="126"/>
    </row>
    <row r="162" spans="13:13" ht="15" customHeight="1">
      <c r="M162" s="126"/>
    </row>
    <row r="163" spans="13:13" ht="15" customHeight="1">
      <c r="M163" s="126"/>
    </row>
    <row r="164" spans="13:13" ht="15" customHeight="1">
      <c r="M164" s="126"/>
    </row>
    <row r="165" spans="13:13" ht="15" customHeight="1">
      <c r="M165" s="126"/>
    </row>
    <row r="166" spans="13:13" ht="15" customHeight="1">
      <c r="M166" s="126"/>
    </row>
    <row r="167" spans="13:13" ht="15" customHeight="1">
      <c r="M167" s="126"/>
    </row>
    <row r="168" spans="13:13" ht="15" customHeight="1">
      <c r="M168" s="126"/>
    </row>
    <row r="169" spans="13:13" ht="15" customHeight="1">
      <c r="M169" s="126"/>
    </row>
    <row r="170" spans="13:13" ht="15" customHeight="1">
      <c r="M170" s="126"/>
    </row>
    <row r="171" spans="13:13" ht="15" customHeight="1">
      <c r="M171" s="126"/>
    </row>
    <row r="172" spans="13:13" ht="15" customHeight="1">
      <c r="M172" s="126"/>
    </row>
    <row r="173" spans="13:13" ht="15" customHeight="1">
      <c r="M173" s="126"/>
    </row>
    <row r="174" spans="13:13" ht="15" customHeight="1">
      <c r="M174" s="126"/>
    </row>
    <row r="175" spans="13:13" ht="15" customHeight="1">
      <c r="M175" s="126"/>
    </row>
    <row r="176" spans="13:13" ht="15" customHeight="1">
      <c r="M176" s="126"/>
    </row>
    <row r="177" spans="13:13" ht="15" customHeight="1">
      <c r="M177" s="126"/>
    </row>
    <row r="178" spans="13:13" ht="15" customHeight="1">
      <c r="M178" s="126"/>
    </row>
    <row r="179" spans="13:13" ht="15" customHeight="1">
      <c r="M179" s="126"/>
    </row>
    <row r="180" spans="13:13" ht="15" customHeight="1">
      <c r="M180" s="126"/>
    </row>
    <row r="181" spans="13:13" ht="15" customHeight="1">
      <c r="M181" s="126"/>
    </row>
    <row r="182" spans="13:13" ht="15" customHeight="1">
      <c r="M182" s="126"/>
    </row>
    <row r="183" spans="13:13" ht="15" customHeight="1">
      <c r="M183" s="126"/>
    </row>
    <row r="184" spans="13:13" ht="15" customHeight="1">
      <c r="M184" s="126"/>
    </row>
    <row r="185" spans="13:13" ht="15" customHeight="1">
      <c r="M185" s="126"/>
    </row>
    <row r="186" spans="13:13" ht="15" customHeight="1">
      <c r="M186" s="126"/>
    </row>
    <row r="187" spans="13:13" ht="15" customHeight="1">
      <c r="M187" s="126"/>
    </row>
    <row r="188" spans="13:13" ht="15" customHeight="1">
      <c r="M188" s="126"/>
    </row>
    <row r="189" spans="13:13" ht="15" customHeight="1">
      <c r="M189" s="126"/>
    </row>
    <row r="190" spans="13:13" ht="15" customHeight="1">
      <c r="M190" s="126"/>
    </row>
    <row r="191" spans="13:13" ht="15" customHeight="1">
      <c r="M191" s="126"/>
    </row>
    <row r="192" spans="13:13" ht="15" customHeight="1">
      <c r="M192" s="126"/>
    </row>
    <row r="193" spans="13:13" ht="15" customHeight="1">
      <c r="M193" s="126"/>
    </row>
    <row r="194" spans="13:13" ht="15" customHeight="1">
      <c r="M194" s="126"/>
    </row>
    <row r="195" spans="13:13" ht="15" customHeight="1">
      <c r="M195" s="126"/>
    </row>
    <row r="196" spans="13:13" ht="15" customHeight="1">
      <c r="M196" s="126"/>
    </row>
    <row r="197" spans="13:13" ht="15" customHeight="1">
      <c r="M197" s="126"/>
    </row>
    <row r="198" spans="13:13" ht="15" customHeight="1">
      <c r="M198" s="126"/>
    </row>
    <row r="199" spans="13:13" ht="15" customHeight="1">
      <c r="M199" s="126"/>
    </row>
    <row r="200" spans="13:13" ht="15" customHeight="1">
      <c r="M200" s="126"/>
    </row>
    <row r="201" spans="13:13" ht="15" customHeight="1">
      <c r="M201" s="126"/>
    </row>
    <row r="202" spans="13:13" ht="15" customHeight="1">
      <c r="M202" s="126"/>
    </row>
    <row r="203" spans="13:13" ht="15" customHeight="1">
      <c r="M203" s="126"/>
    </row>
    <row r="204" spans="13:13" ht="15" customHeight="1">
      <c r="M204" s="126"/>
    </row>
    <row r="205" spans="13:13" ht="15" customHeight="1">
      <c r="M205" s="126"/>
    </row>
    <row r="206" spans="13:13" ht="15" customHeight="1">
      <c r="M206" s="126"/>
    </row>
    <row r="207" spans="13:13" ht="15" customHeight="1">
      <c r="M207" s="126"/>
    </row>
    <row r="208" spans="13:13" ht="15" customHeight="1">
      <c r="M208" s="126"/>
    </row>
    <row r="209" spans="13:13" ht="15" customHeight="1">
      <c r="M209" s="126"/>
    </row>
    <row r="210" spans="13:13" ht="15" customHeight="1">
      <c r="M210" s="126"/>
    </row>
    <row r="211" spans="13:13" ht="15" customHeight="1">
      <c r="M211" s="126"/>
    </row>
    <row r="212" spans="13:13" ht="15" customHeight="1">
      <c r="M212" s="126"/>
    </row>
    <row r="213" spans="13:13" ht="15" customHeight="1">
      <c r="M213" s="126"/>
    </row>
    <row r="214" spans="13:13" ht="15" customHeight="1">
      <c r="M214" s="126"/>
    </row>
    <row r="215" spans="13:13" ht="15" customHeight="1">
      <c r="M215" s="126"/>
    </row>
    <row r="216" spans="13:13" ht="15" customHeight="1">
      <c r="M216" s="126"/>
    </row>
    <row r="217" spans="13:13" ht="15" customHeight="1">
      <c r="M217" s="126"/>
    </row>
    <row r="218" spans="13:13" ht="15" customHeight="1">
      <c r="M218" s="126"/>
    </row>
    <row r="219" spans="13:13" ht="15" customHeight="1">
      <c r="M219" s="126"/>
    </row>
    <row r="220" spans="13:13" ht="15" customHeight="1">
      <c r="M220" s="126"/>
    </row>
    <row r="221" spans="13:13" ht="15" customHeight="1">
      <c r="M221" s="126"/>
    </row>
    <row r="222" spans="13:13" ht="15" customHeight="1">
      <c r="M222" s="126"/>
    </row>
    <row r="223" spans="13:13" ht="15" customHeight="1">
      <c r="M223" s="126"/>
    </row>
    <row r="224" spans="13:13" ht="15" customHeight="1">
      <c r="M224" s="126"/>
    </row>
    <row r="225" spans="13:13" ht="15" customHeight="1">
      <c r="M225" s="126"/>
    </row>
    <row r="226" spans="13:13" ht="15" customHeight="1">
      <c r="M226" s="126"/>
    </row>
    <row r="227" spans="13:13" ht="15" customHeight="1">
      <c r="M227" s="126"/>
    </row>
    <row r="228" spans="13:13" ht="15" customHeight="1">
      <c r="M228" s="126"/>
    </row>
    <row r="229" spans="13:13" ht="15" customHeight="1">
      <c r="M229" s="126"/>
    </row>
    <row r="230" spans="13:13" ht="15" customHeight="1">
      <c r="M230" s="126"/>
    </row>
    <row r="231" spans="13:13" ht="15" customHeight="1">
      <c r="M231" s="126"/>
    </row>
    <row r="232" spans="13:13" ht="15" customHeight="1">
      <c r="M232" s="126"/>
    </row>
    <row r="233" spans="13:13" ht="15" customHeight="1">
      <c r="M233" s="126"/>
    </row>
    <row r="234" spans="13:13" ht="15" customHeight="1">
      <c r="M234" s="126"/>
    </row>
    <row r="235" spans="13:13" ht="15" customHeight="1">
      <c r="M235" s="126"/>
    </row>
    <row r="236" spans="13:13" ht="15" customHeight="1">
      <c r="M236" s="126"/>
    </row>
    <row r="237" spans="13:13" ht="15" customHeight="1">
      <c r="M237" s="126"/>
    </row>
    <row r="238" spans="13:13" ht="15" customHeight="1">
      <c r="M238" s="126"/>
    </row>
    <row r="239" spans="13:13" ht="15" customHeight="1">
      <c r="M239" s="126"/>
    </row>
    <row r="240" spans="13:13" ht="15" customHeight="1">
      <c r="M240" s="126"/>
    </row>
    <row r="241" spans="13:13" ht="15" customHeight="1">
      <c r="M241" s="126"/>
    </row>
    <row r="242" spans="13:13" ht="15" customHeight="1">
      <c r="M242" s="126"/>
    </row>
    <row r="243" spans="13:13" ht="15" customHeight="1">
      <c r="M243" s="126"/>
    </row>
    <row r="244" spans="13:13" ht="15" customHeight="1">
      <c r="M244" s="126"/>
    </row>
    <row r="245" spans="13:13" ht="15" customHeight="1">
      <c r="M245" s="126"/>
    </row>
    <row r="246" spans="13:13" ht="15" customHeight="1">
      <c r="M246" s="126"/>
    </row>
    <row r="247" spans="13:13" ht="15" customHeight="1">
      <c r="M247" s="126"/>
    </row>
    <row r="248" spans="13:13" ht="15" customHeight="1">
      <c r="M248" s="126"/>
    </row>
    <row r="249" spans="13:13" ht="15" customHeight="1">
      <c r="M249" s="126"/>
    </row>
    <row r="250" spans="13:13" ht="15" customHeight="1">
      <c r="M250" s="126"/>
    </row>
    <row r="251" spans="13:13" ht="15" customHeight="1">
      <c r="M251" s="126"/>
    </row>
    <row r="252" spans="13:13" ht="15" customHeight="1">
      <c r="M252" s="126"/>
    </row>
    <row r="253" spans="13:13" ht="15" customHeight="1">
      <c r="M253" s="126"/>
    </row>
    <row r="254" spans="13:13" ht="15" customHeight="1">
      <c r="M254" s="126"/>
    </row>
    <row r="255" spans="13:13" ht="15" customHeight="1">
      <c r="M255" s="126"/>
    </row>
    <row r="256" spans="13:13" ht="15" customHeight="1">
      <c r="M256" s="126"/>
    </row>
    <row r="257" spans="13:13" ht="15" customHeight="1">
      <c r="M257" s="126"/>
    </row>
    <row r="258" spans="13:13" ht="15" customHeight="1">
      <c r="M258" s="126"/>
    </row>
    <row r="259" spans="13:13" ht="15" customHeight="1">
      <c r="M259" s="126"/>
    </row>
    <row r="260" spans="13:13" ht="15" customHeight="1">
      <c r="M260" s="126"/>
    </row>
    <row r="261" spans="13:13" ht="15" customHeight="1">
      <c r="M261" s="126"/>
    </row>
    <row r="262" spans="13:13" ht="15" customHeight="1">
      <c r="M262" s="126"/>
    </row>
    <row r="263" spans="13:13" ht="15" customHeight="1">
      <c r="M263" s="126"/>
    </row>
    <row r="264" spans="13:13" ht="15" customHeight="1">
      <c r="M264" s="126"/>
    </row>
    <row r="265" spans="13:13" ht="15" customHeight="1">
      <c r="M265" s="126"/>
    </row>
    <row r="266" spans="13:13" ht="15" customHeight="1">
      <c r="M266" s="126"/>
    </row>
    <row r="267" spans="13:13" ht="15" customHeight="1">
      <c r="M267" s="126"/>
    </row>
    <row r="268" spans="13:13" ht="15" customHeight="1">
      <c r="M268" s="126"/>
    </row>
    <row r="269" spans="13:13" ht="15" customHeight="1">
      <c r="M269" s="126"/>
    </row>
    <row r="270" spans="13:13" ht="15" customHeight="1">
      <c r="M270" s="126"/>
    </row>
    <row r="271" spans="13:13" ht="15" customHeight="1">
      <c r="M271" s="126"/>
    </row>
    <row r="272" spans="13:13" ht="15" customHeight="1">
      <c r="M272" s="126"/>
    </row>
    <row r="273" spans="13:13" ht="15" customHeight="1">
      <c r="M273" s="126"/>
    </row>
    <row r="274" spans="13:13" ht="15" customHeight="1">
      <c r="M274" s="126"/>
    </row>
    <row r="275" spans="13:13" ht="15" customHeight="1">
      <c r="M275" s="126"/>
    </row>
    <row r="276" spans="13:13" ht="15" customHeight="1">
      <c r="M276" s="126"/>
    </row>
    <row r="277" spans="13:13" ht="15" customHeight="1">
      <c r="M277" s="126"/>
    </row>
    <row r="278" spans="13:13" ht="15" customHeight="1">
      <c r="M278" s="126"/>
    </row>
    <row r="279" spans="13:13" ht="15" customHeight="1">
      <c r="M279" s="126"/>
    </row>
    <row r="280" spans="13:13" ht="15" customHeight="1">
      <c r="M280" s="126"/>
    </row>
    <row r="281" spans="13:13" ht="15" customHeight="1">
      <c r="M281" s="126"/>
    </row>
    <row r="282" spans="13:13" ht="15" customHeight="1">
      <c r="M282" s="126"/>
    </row>
    <row r="283" spans="13:13" ht="15" customHeight="1">
      <c r="M283" s="126"/>
    </row>
    <row r="284" spans="13:13" ht="15" customHeight="1">
      <c r="M284" s="126"/>
    </row>
    <row r="285" spans="13:13" ht="15" customHeight="1">
      <c r="M285" s="126"/>
    </row>
    <row r="286" spans="13:13" ht="15" customHeight="1">
      <c r="M286" s="126"/>
    </row>
    <row r="287" spans="13:13" ht="15" customHeight="1">
      <c r="M287" s="126"/>
    </row>
    <row r="288" spans="13:13" ht="15" customHeight="1">
      <c r="M288" s="126"/>
    </row>
    <row r="289" spans="13:13" ht="15" customHeight="1">
      <c r="M289" s="126"/>
    </row>
    <row r="290" spans="13:13" ht="15" customHeight="1">
      <c r="M290" s="126"/>
    </row>
    <row r="291" spans="13:13" ht="15" customHeight="1">
      <c r="M291" s="126"/>
    </row>
    <row r="292" spans="13:13" ht="15" customHeight="1">
      <c r="M292" s="126"/>
    </row>
    <row r="293" spans="13:13" ht="15" customHeight="1">
      <c r="M293" s="126"/>
    </row>
    <row r="294" spans="13:13" ht="15" customHeight="1">
      <c r="M294" s="126"/>
    </row>
    <row r="295" spans="13:13" ht="15" customHeight="1">
      <c r="M295" s="126"/>
    </row>
    <row r="296" spans="13:13" ht="15" customHeight="1">
      <c r="M296" s="126"/>
    </row>
    <row r="297" spans="13:13" ht="15" customHeight="1">
      <c r="M297" s="126"/>
    </row>
    <row r="298" spans="13:13" ht="15" customHeight="1">
      <c r="M298" s="126"/>
    </row>
    <row r="299" spans="13:13" ht="15" customHeight="1">
      <c r="M299" s="126"/>
    </row>
    <row r="300" spans="13:13" ht="15" customHeight="1">
      <c r="M300" s="126"/>
    </row>
    <row r="301" spans="13:13" ht="15" customHeight="1">
      <c r="M301" s="126"/>
    </row>
    <row r="302" spans="13:13" ht="15" customHeight="1">
      <c r="M302" s="126"/>
    </row>
    <row r="303" spans="13:13" ht="15" customHeight="1">
      <c r="M303" s="126"/>
    </row>
    <row r="304" spans="13:13" ht="15" customHeight="1">
      <c r="M304" s="126"/>
    </row>
    <row r="305" spans="13:13" ht="15" customHeight="1">
      <c r="M305" s="126"/>
    </row>
    <row r="306" spans="13:13" ht="15" customHeight="1">
      <c r="M306" s="126"/>
    </row>
    <row r="307" spans="13:13" ht="15" customHeight="1">
      <c r="M307" s="126"/>
    </row>
    <row r="308" spans="13:13" ht="15" customHeight="1">
      <c r="M308" s="126"/>
    </row>
    <row r="309" spans="13:13" ht="15" customHeight="1">
      <c r="M309" s="126"/>
    </row>
    <row r="310" spans="13:13" ht="15" customHeight="1">
      <c r="M310" s="126"/>
    </row>
    <row r="311" spans="13:13" ht="15" customHeight="1">
      <c r="M311" s="126"/>
    </row>
    <row r="312" spans="13:13" ht="15" customHeight="1">
      <c r="M312" s="126"/>
    </row>
    <row r="313" spans="13:13" ht="15" customHeight="1">
      <c r="M313" s="126"/>
    </row>
    <row r="314" spans="13:13" ht="15" customHeight="1">
      <c r="M314" s="126"/>
    </row>
    <row r="315" spans="13:13" ht="15" customHeight="1">
      <c r="M315" s="126"/>
    </row>
    <row r="316" spans="13:13" ht="15" customHeight="1">
      <c r="M316" s="126"/>
    </row>
    <row r="317" spans="13:13" ht="15" customHeight="1">
      <c r="M317" s="126"/>
    </row>
    <row r="318" spans="13:13" ht="15" customHeight="1">
      <c r="M318" s="126"/>
    </row>
    <row r="319" spans="13:13" ht="15" customHeight="1">
      <c r="M319" s="126"/>
    </row>
    <row r="320" spans="13:13" ht="15" customHeight="1">
      <c r="M320" s="126"/>
    </row>
    <row r="321" spans="13:13" ht="15" customHeight="1">
      <c r="M321" s="126"/>
    </row>
    <row r="322" spans="13:13" ht="15" customHeight="1">
      <c r="M322" s="126"/>
    </row>
    <row r="323" spans="13:13" ht="15" customHeight="1">
      <c r="M323" s="126"/>
    </row>
    <row r="324" spans="13:13" ht="15" customHeight="1">
      <c r="M324" s="126"/>
    </row>
    <row r="325" spans="13:13" ht="15" customHeight="1">
      <c r="M325" s="126"/>
    </row>
    <row r="326" spans="13:13" ht="15" customHeight="1">
      <c r="M326" s="126"/>
    </row>
    <row r="327" spans="13:13" ht="15" customHeight="1">
      <c r="M327" s="126"/>
    </row>
    <row r="328" spans="13:13" ht="15" customHeight="1">
      <c r="M328" s="126"/>
    </row>
    <row r="329" spans="13:13" ht="15" customHeight="1">
      <c r="M329" s="126"/>
    </row>
    <row r="330" spans="13:13" ht="15" customHeight="1">
      <c r="M330" s="126"/>
    </row>
    <row r="331" spans="13:13" ht="15" customHeight="1">
      <c r="M331" s="126"/>
    </row>
    <row r="332" spans="13:13" ht="15" customHeight="1">
      <c r="M332" s="126"/>
    </row>
    <row r="333" spans="13:13" ht="15" customHeight="1">
      <c r="M333" s="126"/>
    </row>
    <row r="334" spans="13:13" ht="15" customHeight="1">
      <c r="M334" s="126"/>
    </row>
    <row r="335" spans="13:13" ht="15" customHeight="1">
      <c r="M335" s="126"/>
    </row>
    <row r="336" spans="13:13" ht="15" customHeight="1">
      <c r="M336" s="126"/>
    </row>
    <row r="337" spans="13:13" ht="15" customHeight="1">
      <c r="M337" s="126"/>
    </row>
    <row r="338" spans="13:13" ht="15" customHeight="1">
      <c r="M338" s="126"/>
    </row>
    <row r="339" spans="13:13" ht="15" customHeight="1">
      <c r="M339" s="126"/>
    </row>
    <row r="340" spans="13:13" ht="15" customHeight="1">
      <c r="M340" s="126"/>
    </row>
    <row r="341" spans="13:13" ht="15" customHeight="1">
      <c r="M341" s="126"/>
    </row>
    <row r="342" spans="13:13" ht="15" customHeight="1">
      <c r="M342" s="126"/>
    </row>
    <row r="343" spans="13:13" ht="15" customHeight="1">
      <c r="M343" s="126"/>
    </row>
    <row r="344" spans="13:13" ht="15" customHeight="1">
      <c r="M344" s="126"/>
    </row>
    <row r="345" spans="13:13" ht="15" customHeight="1">
      <c r="M345" s="126"/>
    </row>
    <row r="346" spans="13:13" ht="15" customHeight="1">
      <c r="M346" s="126"/>
    </row>
    <row r="347" spans="13:13" ht="15" customHeight="1">
      <c r="M347" s="126"/>
    </row>
    <row r="348" spans="13:13" ht="15" customHeight="1">
      <c r="M348" s="126"/>
    </row>
    <row r="349" spans="13:13" ht="15" customHeight="1">
      <c r="M349" s="126"/>
    </row>
    <row r="350" spans="13:13" ht="15" customHeight="1">
      <c r="M350" s="126"/>
    </row>
    <row r="351" spans="13:13" ht="15" customHeight="1">
      <c r="M351" s="126"/>
    </row>
    <row r="352" spans="13:13" ht="15" customHeight="1">
      <c r="M352" s="126"/>
    </row>
    <row r="353" spans="13:13" ht="15" customHeight="1">
      <c r="M353" s="126"/>
    </row>
    <row r="354" spans="13:13" ht="15" customHeight="1">
      <c r="M354" s="126"/>
    </row>
    <row r="355" spans="13:13" ht="15" customHeight="1">
      <c r="M355" s="126"/>
    </row>
    <row r="356" spans="13:13" ht="15" customHeight="1">
      <c r="M356" s="126"/>
    </row>
    <row r="357" spans="13:13" ht="15" customHeight="1">
      <c r="M357" s="126"/>
    </row>
    <row r="358" spans="13:13" ht="15" customHeight="1">
      <c r="M358" s="126"/>
    </row>
    <row r="359" spans="13:13" ht="15" customHeight="1">
      <c r="M359" s="126"/>
    </row>
    <row r="360" spans="13:13" ht="15" customHeight="1">
      <c r="M360" s="126"/>
    </row>
    <row r="361" spans="13:13" ht="15" customHeight="1">
      <c r="M361" s="126"/>
    </row>
    <row r="362" spans="13:13" ht="15" customHeight="1">
      <c r="M362" s="126"/>
    </row>
    <row r="363" spans="13:13" ht="15" customHeight="1">
      <c r="M363" s="126"/>
    </row>
    <row r="364" spans="13:13" ht="15" customHeight="1">
      <c r="M364" s="126"/>
    </row>
    <row r="365" spans="13:13" ht="15" customHeight="1">
      <c r="M365" s="126"/>
    </row>
    <row r="366" spans="13:13" ht="15" customHeight="1">
      <c r="M366" s="126"/>
    </row>
    <row r="367" spans="13:13" ht="15" customHeight="1">
      <c r="M367" s="126"/>
    </row>
    <row r="368" spans="13:13" ht="15" customHeight="1">
      <c r="M368" s="126"/>
    </row>
    <row r="369" spans="13:13" ht="15" customHeight="1">
      <c r="M369" s="126"/>
    </row>
    <row r="370" spans="13:13" ht="15" customHeight="1">
      <c r="M370" s="126"/>
    </row>
    <row r="371" spans="13:13" ht="15" customHeight="1">
      <c r="M371" s="126"/>
    </row>
    <row r="372" spans="13:13" ht="15" customHeight="1">
      <c r="M372" s="126"/>
    </row>
    <row r="373" spans="13:13" ht="15" customHeight="1">
      <c r="M373" s="126"/>
    </row>
    <row r="374" spans="13:13" ht="15" customHeight="1">
      <c r="M374" s="126"/>
    </row>
    <row r="375" spans="13:13" ht="15" customHeight="1">
      <c r="M375" s="126"/>
    </row>
    <row r="376" spans="13:13" ht="15" customHeight="1">
      <c r="M376" s="126"/>
    </row>
    <row r="377" spans="13:13" ht="15" customHeight="1">
      <c r="M377" s="126"/>
    </row>
    <row r="378" spans="13:13" ht="15" customHeight="1">
      <c r="M378" s="126"/>
    </row>
    <row r="379" spans="13:13" ht="15" customHeight="1">
      <c r="M379" s="126"/>
    </row>
  </sheetData>
  <mergeCells count="4">
    <mergeCell ref="A1:AC1"/>
    <mergeCell ref="A2:AC2"/>
    <mergeCell ref="A3:AC3"/>
    <mergeCell ref="A4:AC4"/>
  </mergeCells>
  <phoneticPr fontId="12" type="noConversion"/>
  <pageMargins left="0.5" right="0.5" top="0.75" bottom="0.5" header="0.5" footer="0.5"/>
  <pageSetup scale="81"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J118"/>
  <sheetViews>
    <sheetView topLeftCell="A38" workbookViewId="0">
      <selection activeCell="A9" sqref="A1:XFD1048576"/>
    </sheetView>
  </sheetViews>
  <sheetFormatPr defaultColWidth="9.28515625" defaultRowHeight="12.75"/>
  <cols>
    <col min="1" max="1" width="19.42578125" style="1532" customWidth="1"/>
    <col min="2" max="5" width="13.42578125" style="1532" customWidth="1"/>
    <col min="6" max="6" width="13.42578125" style="1532" bestFit="1" customWidth="1"/>
    <col min="7" max="8" width="15" style="1532" bestFit="1" customWidth="1"/>
    <col min="9" max="9" width="7" style="4" bestFit="1" customWidth="1"/>
    <col min="10" max="10" width="22.42578125" style="1532" bestFit="1" customWidth="1"/>
    <col min="11" max="16384" width="9.28515625" style="1532"/>
  </cols>
  <sheetData>
    <row r="1" spans="1:9">
      <c r="A1" s="1" t="s">
        <v>1659</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601" t="s">
        <v>1660</v>
      </c>
      <c r="B9" s="1590">
        <v>45304194.101887286</v>
      </c>
      <c r="C9" s="1590">
        <v>27858657.754253723</v>
      </c>
      <c r="D9" s="1590">
        <v>45036707.67448511</v>
      </c>
      <c r="E9" s="1590">
        <v>19157194.23233448</v>
      </c>
      <c r="F9" s="1590">
        <v>13826364.945022898</v>
      </c>
      <c r="G9" s="1590">
        <v>46057892.880716443</v>
      </c>
      <c r="H9" s="1591">
        <v>197241011.58869997</v>
      </c>
      <c r="I9" s="4" t="s">
        <v>626</v>
      </c>
    </row>
    <row r="10" spans="1:9">
      <c r="A10" s="20"/>
      <c r="B10" s="65">
        <v>0.38328564236441792</v>
      </c>
      <c r="C10" s="65">
        <v>0.23569172224398519</v>
      </c>
      <c r="D10" s="65">
        <v>0.38102263539159692</v>
      </c>
      <c r="E10" s="20"/>
      <c r="F10" s="20"/>
      <c r="G10" s="20"/>
      <c r="H10" s="20"/>
    </row>
    <row r="11" spans="1:9">
      <c r="A11" s="602" t="s">
        <v>1490</v>
      </c>
      <c r="B11" s="19">
        <v>6576.9713919659471</v>
      </c>
      <c r="C11" s="19">
        <v>3398.9599525423728</v>
      </c>
      <c r="D11" s="19">
        <v>6130.524081492209</v>
      </c>
      <c r="E11" s="20"/>
      <c r="F11" s="20"/>
      <c r="G11" s="20"/>
      <c r="H11" s="21">
        <v>16106.45542600053</v>
      </c>
    </row>
    <row r="12" spans="1:9">
      <c r="A12" s="150" t="s">
        <v>1186</v>
      </c>
      <c r="B12" s="19">
        <v>6806.6511904761901</v>
      </c>
      <c r="C12" s="19">
        <v>3508.5075000000002</v>
      </c>
      <c r="D12" s="19">
        <v>6432.5453809523806</v>
      </c>
      <c r="E12" s="20"/>
      <c r="F12" s="20"/>
      <c r="G12" s="20"/>
      <c r="H12" s="21">
        <v>16747.704071428569</v>
      </c>
    </row>
    <row r="13" spans="1:9">
      <c r="A13" s="150" t="s">
        <v>1022</v>
      </c>
      <c r="B13" s="19">
        <v>7346</v>
      </c>
      <c r="C13" s="19">
        <v>3852</v>
      </c>
      <c r="D13" s="19">
        <v>6945</v>
      </c>
      <c r="E13" s="20"/>
      <c r="F13" s="20"/>
      <c r="G13" s="20"/>
      <c r="H13" s="21">
        <v>18143</v>
      </c>
    </row>
    <row r="14" spans="1:9">
      <c r="A14" s="248" t="s">
        <v>1006</v>
      </c>
      <c r="B14" s="19">
        <v>7294.4735188305349</v>
      </c>
      <c r="C14" s="19">
        <v>3958.92</v>
      </c>
      <c r="D14" s="19">
        <v>6890.6134526693495</v>
      </c>
      <c r="E14" s="20"/>
      <c r="F14" s="20"/>
      <c r="G14" s="20"/>
      <c r="H14" s="21">
        <v>18144.006971499883</v>
      </c>
    </row>
    <row r="15" spans="1:9">
      <c r="A15" s="248" t="s">
        <v>934</v>
      </c>
      <c r="B15" s="19">
        <v>7658.2554667969489</v>
      </c>
      <c r="C15" s="19">
        <v>4056.4399999999996</v>
      </c>
      <c r="D15" s="19">
        <v>6910.6983661673603</v>
      </c>
      <c r="E15" s="20"/>
      <c r="F15" s="20"/>
      <c r="G15" s="20"/>
      <c r="H15" s="21">
        <v>18625.393832964306</v>
      </c>
    </row>
    <row r="16" spans="1:9">
      <c r="A16" s="248" t="s">
        <v>826</v>
      </c>
      <c r="B16" s="19">
        <v>7939</v>
      </c>
      <c r="C16" s="19">
        <v>4097</v>
      </c>
      <c r="D16" s="19">
        <v>6906</v>
      </c>
      <c r="E16" s="20"/>
      <c r="F16" s="20"/>
      <c r="G16" s="20"/>
      <c r="H16" s="21">
        <v>18942</v>
      </c>
    </row>
    <row r="17" spans="1:10">
      <c r="A17" s="254" t="s">
        <v>888</v>
      </c>
      <c r="B17" s="22">
        <v>7136.4703136139242</v>
      </c>
      <c r="C17" s="22">
        <v>3754.9654905084744</v>
      </c>
      <c r="D17" s="22">
        <v>6661.8762562562597</v>
      </c>
      <c r="E17" s="23"/>
      <c r="F17" s="23"/>
      <c r="G17" s="23"/>
      <c r="H17" s="24">
        <v>17553.312060378659</v>
      </c>
      <c r="I17" s="4" t="s">
        <v>630</v>
      </c>
    </row>
    <row r="18" spans="1:10">
      <c r="A18" s="25" t="s">
        <v>631</v>
      </c>
      <c r="B18" s="65">
        <v>0.40655975858381549</v>
      </c>
      <c r="C18" s="65">
        <v>0.21391777674734011</v>
      </c>
      <c r="D18" s="65">
        <v>0.37952246466884437</v>
      </c>
      <c r="E18" s="20"/>
      <c r="F18" s="20"/>
      <c r="G18" s="20"/>
      <c r="H18" s="19"/>
    </row>
    <row r="19" spans="1:10">
      <c r="A19" s="25"/>
      <c r="B19" s="26"/>
      <c r="C19" s="26"/>
      <c r="D19" s="26"/>
      <c r="E19" s="20"/>
      <c r="F19" s="20"/>
      <c r="G19" s="20"/>
      <c r="H19" s="19"/>
    </row>
    <row r="20" spans="1:10" s="4" customFormat="1">
      <c r="A20" s="25"/>
      <c r="B20" s="1532"/>
      <c r="C20" s="1532"/>
      <c r="D20" s="1532"/>
      <c r="E20" s="1532"/>
      <c r="F20" s="1532"/>
      <c r="G20" s="1532"/>
      <c r="H20" s="1532"/>
      <c r="J20" s="1532"/>
    </row>
    <row r="21" spans="1:10" s="4" customFormat="1">
      <c r="A21" s="30" t="s">
        <v>1109</v>
      </c>
      <c r="B21" s="1532"/>
      <c r="C21" s="1532"/>
      <c r="D21" s="1532"/>
      <c r="E21" s="1532"/>
      <c r="F21" s="1532"/>
      <c r="G21" s="1532"/>
      <c r="H21" s="1532"/>
      <c r="J21" s="1532"/>
    </row>
    <row r="22" spans="1:10" s="4" customFormat="1">
      <c r="A22" s="25" t="s">
        <v>638</v>
      </c>
      <c r="B22" s="29"/>
      <c r="C22" s="29"/>
      <c r="D22" s="29"/>
      <c r="E22" s="1532"/>
      <c r="F22" s="1532"/>
      <c r="G22" s="1532"/>
      <c r="H22" s="28">
        <v>0</v>
      </c>
      <c r="J22" s="1532"/>
    </row>
    <row r="23" spans="1:10" s="4" customFormat="1">
      <c r="A23" s="25"/>
      <c r="B23" s="29"/>
      <c r="C23" s="29"/>
      <c r="D23" s="29"/>
      <c r="E23" s="1532"/>
      <c r="F23" s="1532"/>
      <c r="G23" s="1532"/>
      <c r="H23" s="28"/>
      <c r="J23" s="1532"/>
    </row>
    <row r="25" spans="1:10" s="4" customFormat="1">
      <c r="A25" s="6" t="s">
        <v>639</v>
      </c>
      <c r="B25" s="1532"/>
      <c r="C25" s="1532"/>
      <c r="D25" s="1532"/>
      <c r="E25" s="1532"/>
      <c r="F25" s="1532"/>
      <c r="G25" s="1532"/>
      <c r="H25" s="1532"/>
      <c r="J25" s="1532"/>
    </row>
    <row r="26" spans="1:10" s="4" customFormat="1">
      <c r="A26" s="7" t="s">
        <v>1487</v>
      </c>
      <c r="B26" s="1532"/>
      <c r="C26" s="1532"/>
      <c r="D26" s="1532"/>
      <c r="E26" s="1532"/>
      <c r="F26" s="1532"/>
      <c r="G26" s="1532"/>
      <c r="H26" s="1532"/>
      <c r="J26" s="1532"/>
    </row>
    <row r="27" spans="1:10">
      <c r="A27" s="8"/>
      <c r="B27" s="9" t="s">
        <v>619</v>
      </c>
      <c r="C27" s="9" t="s">
        <v>620</v>
      </c>
      <c r="D27" s="9" t="s">
        <v>621</v>
      </c>
      <c r="E27" s="10" t="s">
        <v>622</v>
      </c>
      <c r="F27" s="10" t="s">
        <v>623</v>
      </c>
      <c r="G27" s="10" t="s">
        <v>624</v>
      </c>
      <c r="H27" s="11" t="s">
        <v>625</v>
      </c>
    </row>
    <row r="28" spans="1:10">
      <c r="A28" s="12" t="s">
        <v>640</v>
      </c>
      <c r="B28" s="23"/>
      <c r="C28" s="23"/>
      <c r="D28" s="23"/>
      <c r="E28" s="23"/>
      <c r="F28" s="23"/>
      <c r="G28" s="31">
        <v>313291.26358331548</v>
      </c>
      <c r="H28" s="32">
        <v>313291.26358331548</v>
      </c>
      <c r="I28" s="4" t="s">
        <v>641</v>
      </c>
    </row>
    <row r="29" spans="1:10">
      <c r="A29" s="16"/>
      <c r="G29" s="28"/>
      <c r="H29" s="29"/>
    </row>
    <row r="30" spans="1:10">
      <c r="A30" s="20"/>
      <c r="G30" s="29"/>
    </row>
    <row r="31" spans="1:10" s="1908" customFormat="1">
      <c r="A31" s="1529" t="s">
        <v>1883</v>
      </c>
      <c r="B31" s="424">
        <v>4.3542449602890798</v>
      </c>
      <c r="C31" s="1529" t="s">
        <v>1882</v>
      </c>
      <c r="E31" s="1236"/>
      <c r="F31" s="128"/>
      <c r="H31" s="1527" t="s">
        <v>1654</v>
      </c>
      <c r="I31" s="4"/>
    </row>
    <row r="32" spans="1:10">
      <c r="A32" s="33" t="s">
        <v>1489</v>
      </c>
    </row>
    <row r="33" spans="1:10">
      <c r="A33" s="8"/>
      <c r="B33" s="9" t="s">
        <v>619</v>
      </c>
      <c r="C33" s="9" t="s">
        <v>620</v>
      </c>
      <c r="D33" s="9" t="s">
        <v>621</v>
      </c>
      <c r="E33" s="10" t="s">
        <v>622</v>
      </c>
      <c r="F33" s="10" t="s">
        <v>623</v>
      </c>
      <c r="G33" s="10" t="s">
        <v>624</v>
      </c>
      <c r="H33" s="11" t="s">
        <v>625</v>
      </c>
    </row>
    <row r="34" spans="1:10">
      <c r="A34" s="12"/>
      <c r="B34" s="22"/>
      <c r="C34" s="22"/>
      <c r="D34" s="22"/>
      <c r="E34" s="23"/>
      <c r="F34" s="335">
        <v>0</v>
      </c>
      <c r="G34" s="23"/>
      <c r="H34" s="32">
        <v>0</v>
      </c>
      <c r="J34" s="71" t="s">
        <v>22</v>
      </c>
    </row>
    <row r="35" spans="1:10">
      <c r="A35" s="20"/>
      <c r="B35" s="19"/>
      <c r="C35" s="19"/>
      <c r="D35" s="19"/>
      <c r="F35" s="28"/>
      <c r="H35" s="29"/>
    </row>
    <row r="36" spans="1:10">
      <c r="A36" s="20"/>
      <c r="B36" s="19"/>
      <c r="C36" s="19"/>
      <c r="D36" s="19"/>
    </row>
    <row r="37" spans="1:10">
      <c r="A37" s="6" t="s">
        <v>642</v>
      </c>
    </row>
    <row r="38" spans="1:10">
      <c r="A38" s="1562" t="s">
        <v>1491</v>
      </c>
      <c r="B38" s="1563"/>
      <c r="C38" s="1563"/>
      <c r="D38" s="1562"/>
      <c r="E38" s="1563"/>
      <c r="F38" s="1563"/>
      <c r="G38" s="1563"/>
      <c r="H38" s="1563"/>
      <c r="J38" s="34"/>
    </row>
    <row r="39" spans="1:10">
      <c r="A39" s="1564"/>
      <c r="B39" s="1565" t="s">
        <v>619</v>
      </c>
      <c r="C39" s="1565" t="s">
        <v>620</v>
      </c>
      <c r="D39" s="1565" t="s">
        <v>621</v>
      </c>
      <c r="E39" s="1565" t="s">
        <v>622</v>
      </c>
      <c r="F39" s="1565" t="s">
        <v>623</v>
      </c>
      <c r="G39" s="1565" t="s">
        <v>624</v>
      </c>
      <c r="H39" s="1566" t="s">
        <v>625</v>
      </c>
    </row>
    <row r="40" spans="1:10">
      <c r="A40" s="1567" t="s">
        <v>1490</v>
      </c>
      <c r="B40" s="1568">
        <v>6541.356115303116</v>
      </c>
      <c r="C40" s="1568">
        <v>3390.2518936374604</v>
      </c>
      <c r="D40" s="1568">
        <v>6003.6532494852145</v>
      </c>
      <c r="E40" s="1569"/>
      <c r="F40" s="1569"/>
      <c r="G40" s="1568"/>
      <c r="H40" s="1570">
        <v>15935.261258425791</v>
      </c>
    </row>
    <row r="41" spans="1:10">
      <c r="A41" s="1567" t="s">
        <v>889</v>
      </c>
      <c r="B41" s="1571">
        <v>6913.0904433151572</v>
      </c>
      <c r="C41" s="1571">
        <v>3621.7278692359664</v>
      </c>
      <c r="D41" s="1571">
        <v>6480.4672329198311</v>
      </c>
      <c r="E41" s="1569"/>
      <c r="F41" s="1569"/>
      <c r="G41" s="1569">
        <v>0</v>
      </c>
      <c r="H41" s="1570">
        <v>17015.285545470957</v>
      </c>
    </row>
    <row r="42" spans="1:10">
      <c r="A42" s="1572" t="s">
        <v>890</v>
      </c>
      <c r="B42" s="1573">
        <v>-223.37987029876695</v>
      </c>
      <c r="C42" s="1573">
        <v>-133.23762127250802</v>
      </c>
      <c r="D42" s="1573">
        <v>-181.40902333642862</v>
      </c>
      <c r="E42" s="1574"/>
      <c r="F42" s="1574"/>
      <c r="G42" s="1574">
        <v>0</v>
      </c>
      <c r="H42" s="1575">
        <v>-538.02651490770359</v>
      </c>
      <c r="J42" s="39"/>
    </row>
    <row r="43" spans="1:10">
      <c r="A43" s="1562" t="s">
        <v>1105</v>
      </c>
      <c r="B43" s="1563"/>
      <c r="C43" s="1563"/>
      <c r="D43" s="1563"/>
      <c r="E43" s="1563"/>
      <c r="F43" s="1563"/>
      <c r="G43" s="1563"/>
      <c r="H43" s="1563"/>
    </row>
    <row r="44" spans="1:10" s="128" customFormat="1">
      <c r="A44" s="1562"/>
      <c r="B44" s="1563"/>
      <c r="C44" s="1563"/>
      <c r="D44" s="1563"/>
      <c r="E44" s="1563"/>
      <c r="F44" s="1563"/>
      <c r="G44" s="1563"/>
      <c r="H44" s="1576">
        <v>3577</v>
      </c>
      <c r="I44" s="347"/>
    </row>
    <row r="45" spans="1:10" s="128" customFormat="1">
      <c r="A45" s="1564" t="s">
        <v>646</v>
      </c>
      <c r="B45" s="1577"/>
      <c r="C45" s="1577"/>
      <c r="D45" s="1577"/>
      <c r="E45" s="1578"/>
      <c r="F45" s="1578"/>
      <c r="G45" s="1577">
        <v>0</v>
      </c>
      <c r="H45" s="1579">
        <v>0</v>
      </c>
      <c r="I45" s="347"/>
      <c r="J45" s="128">
        <v>3919.7556116204159</v>
      </c>
    </row>
    <row r="46" spans="1:10" s="128" customFormat="1">
      <c r="A46" s="1572" t="s">
        <v>914</v>
      </c>
      <c r="B46" s="1580">
        <v>650880.51536638057</v>
      </c>
      <c r="C46" s="1580">
        <v>210194.75313952495</v>
      </c>
      <c r="D46" s="1580">
        <v>43588.727061379235</v>
      </c>
      <c r="E46" s="1574"/>
      <c r="F46" s="1574"/>
      <c r="G46" s="1580"/>
      <c r="H46" s="1581">
        <v>904663.99556728476</v>
      </c>
      <c r="I46" s="347"/>
    </row>
    <row r="47" spans="1:10" s="128" customFormat="1">
      <c r="A47" s="1572" t="s">
        <v>625</v>
      </c>
      <c r="B47" s="1580">
        <v>650880.51536638057</v>
      </c>
      <c r="C47" s="1580">
        <v>210194.75313952495</v>
      </c>
      <c r="D47" s="1580">
        <v>43588.727061379235</v>
      </c>
      <c r="E47" s="1574"/>
      <c r="F47" s="1574"/>
      <c r="G47" s="1574"/>
      <c r="H47" s="1581">
        <v>904663.99556728476</v>
      </c>
      <c r="I47" s="347" t="s">
        <v>647</v>
      </c>
    </row>
    <row r="48" spans="1:10" s="128" customFormat="1">
      <c r="A48" s="1563"/>
      <c r="B48" s="1563"/>
      <c r="C48" s="1563"/>
      <c r="D48" s="1563"/>
      <c r="E48" s="1563"/>
      <c r="F48" s="1563"/>
      <c r="G48" s="1563"/>
      <c r="H48" s="1563"/>
      <c r="I48" s="347"/>
    </row>
    <row r="49" spans="1:9" s="128" customFormat="1">
      <c r="A49" s="1582" t="s">
        <v>891</v>
      </c>
      <c r="B49" s="1563"/>
      <c r="C49" s="1563"/>
      <c r="D49" s="1563"/>
      <c r="E49" s="1563"/>
      <c r="F49" s="1563"/>
      <c r="G49" s="1563"/>
      <c r="H49" s="1583"/>
      <c r="I49" s="347"/>
    </row>
    <row r="50" spans="1:9" s="128" customFormat="1">
      <c r="A50" s="1584" t="s">
        <v>1007</v>
      </c>
      <c r="B50" s="1563"/>
      <c r="C50" s="1563"/>
      <c r="D50" s="1563"/>
      <c r="E50" s="1563"/>
      <c r="F50" s="1563"/>
      <c r="G50" s="1563"/>
      <c r="H50" s="1563"/>
      <c r="I50" s="347"/>
    </row>
    <row r="51" spans="1:9" s="128" customFormat="1">
      <c r="A51" s="1564"/>
      <c r="B51" s="1585" t="s">
        <v>619</v>
      </c>
      <c r="C51" s="1585" t="s">
        <v>620</v>
      </c>
      <c r="D51" s="1585" t="s">
        <v>621</v>
      </c>
      <c r="E51" s="1585" t="s">
        <v>622</v>
      </c>
      <c r="F51" s="1585" t="s">
        <v>623</v>
      </c>
      <c r="G51" s="1585" t="s">
        <v>624</v>
      </c>
      <c r="H51" s="1586" t="s">
        <v>625</v>
      </c>
      <c r="I51" s="347"/>
    </row>
    <row r="52" spans="1:9" s="128" customFormat="1">
      <c r="A52" s="1587" t="s">
        <v>646</v>
      </c>
      <c r="B52" s="1569"/>
      <c r="C52" s="1569"/>
      <c r="D52" s="1569"/>
      <c r="E52" s="1561">
        <v>0</v>
      </c>
      <c r="F52" s="1561">
        <v>0</v>
      </c>
      <c r="G52" s="1569"/>
      <c r="H52" s="1588">
        <v>0</v>
      </c>
      <c r="I52" s="347" t="s">
        <v>648</v>
      </c>
    </row>
    <row r="53" spans="1:9" s="128" customFormat="1">
      <c r="A53" s="1572" t="s">
        <v>914</v>
      </c>
      <c r="B53" s="1574"/>
      <c r="C53" s="1574"/>
      <c r="D53" s="1574"/>
      <c r="E53" s="1580">
        <v>64634.0625</v>
      </c>
      <c r="F53" s="1580"/>
      <c r="G53" s="1580">
        <v>12583.357499999984</v>
      </c>
      <c r="H53" s="1581">
        <v>77217.419999999984</v>
      </c>
      <c r="I53" s="347"/>
    </row>
    <row r="54" spans="1:9" s="128" customFormat="1">
      <c r="A54" s="1572" t="s">
        <v>625</v>
      </c>
      <c r="B54" s="1580">
        <v>0</v>
      </c>
      <c r="C54" s="1580">
        <v>0</v>
      </c>
      <c r="D54" s="1580">
        <v>0</v>
      </c>
      <c r="E54" s="1589">
        <v>64634.0625</v>
      </c>
      <c r="F54" s="1589">
        <v>0</v>
      </c>
      <c r="G54" s="1589">
        <v>12583.357499999984</v>
      </c>
      <c r="H54" s="1581">
        <v>77217.419999999984</v>
      </c>
      <c r="I54" s="347"/>
    </row>
    <row r="55" spans="1:9" s="128" customFormat="1">
      <c r="E55" s="365"/>
      <c r="F55" s="365"/>
      <c r="H55" s="385"/>
      <c r="I55" s="347"/>
    </row>
    <row r="56" spans="1:9" s="128" customFormat="1">
      <c r="I56" s="347"/>
    </row>
    <row r="57" spans="1:9" s="128" customFormat="1">
      <c r="A57" s="1319" t="s">
        <v>649</v>
      </c>
      <c r="I57" s="347"/>
    </row>
    <row r="58" spans="1:9" s="128" customFormat="1">
      <c r="A58" s="1307" t="s">
        <v>1661</v>
      </c>
      <c r="I58" s="347"/>
    </row>
    <row r="59" spans="1:9" s="128" customFormat="1">
      <c r="A59" s="1309"/>
      <c r="B59" s="45" t="s">
        <v>619</v>
      </c>
      <c r="C59" s="45" t="s">
        <v>620</v>
      </c>
      <c r="D59" s="45" t="s">
        <v>621</v>
      </c>
      <c r="E59" s="45" t="s">
        <v>622</v>
      </c>
      <c r="F59" s="45" t="s">
        <v>623</v>
      </c>
      <c r="G59" s="45" t="s">
        <v>624</v>
      </c>
      <c r="H59" s="1317" t="s">
        <v>625</v>
      </c>
      <c r="I59" s="347"/>
    </row>
    <row r="60" spans="1:9" s="128" customFormat="1">
      <c r="A60" s="1002" t="s">
        <v>650</v>
      </c>
      <c r="B60" s="125"/>
      <c r="C60" s="125"/>
      <c r="D60" s="125"/>
      <c r="E60" s="125"/>
      <c r="F60" s="125"/>
      <c r="G60" s="125">
        <v>2399095.5632563862</v>
      </c>
      <c r="H60" s="1320">
        <v>2399095.5632563862</v>
      </c>
      <c r="I60" s="347" t="s">
        <v>651</v>
      </c>
    </row>
    <row r="61" spans="1:9" s="128" customFormat="1">
      <c r="A61" s="1002" t="s">
        <v>476</v>
      </c>
      <c r="B61" s="125"/>
      <c r="C61" s="125"/>
      <c r="D61" s="125"/>
      <c r="E61" s="125"/>
      <c r="F61" s="125"/>
      <c r="G61" s="125">
        <v>7884208.0138777159</v>
      </c>
      <c r="H61" s="1320">
        <v>7884208.0138777159</v>
      </c>
      <c r="I61" s="347"/>
    </row>
    <row r="62" spans="1:9" s="128" customFormat="1">
      <c r="A62" s="1002" t="s">
        <v>1115</v>
      </c>
      <c r="B62" s="125">
        <v>161438.49715464</v>
      </c>
      <c r="C62" s="125">
        <v>58239.131648489994</v>
      </c>
      <c r="D62" s="125">
        <v>260507.35440774</v>
      </c>
      <c r="E62" s="125">
        <v>166832.07007545</v>
      </c>
      <c r="F62" s="125">
        <v>28997.366453369996</v>
      </c>
      <c r="G62" s="125"/>
      <c r="H62" s="1320">
        <v>676014.41973969003</v>
      </c>
      <c r="I62" s="347"/>
    </row>
    <row r="63" spans="1:9" s="128" customFormat="1">
      <c r="A63" s="1002" t="s">
        <v>1120</v>
      </c>
      <c r="B63" s="125"/>
      <c r="C63" s="125"/>
      <c r="D63" s="125"/>
      <c r="E63" s="125"/>
      <c r="F63" s="125">
        <v>0</v>
      </c>
      <c r="G63" s="125">
        <v>500000</v>
      </c>
      <c r="H63" s="1320">
        <v>500000</v>
      </c>
      <c r="I63" s="347"/>
    </row>
    <row r="64" spans="1:9" s="128" customFormat="1">
      <c r="A64" s="1321"/>
      <c r="B64" s="1322">
        <v>161438.49715464</v>
      </c>
      <c r="C64" s="1322">
        <v>58239.131648489994</v>
      </c>
      <c r="D64" s="1322">
        <v>260507.35440774</v>
      </c>
      <c r="E64" s="1322">
        <v>166832.07007545</v>
      </c>
      <c r="F64" s="1322">
        <v>28997.366453369996</v>
      </c>
      <c r="G64" s="1322">
        <v>10783303.577134103</v>
      </c>
      <c r="H64" s="1322">
        <v>11459317.996873792</v>
      </c>
      <c r="I64" s="347"/>
    </row>
    <row r="65" spans="1:10" s="128" customFormat="1">
      <c r="A65" s="456"/>
      <c r="I65" s="347"/>
    </row>
    <row r="66" spans="1:10" s="128" customFormat="1">
      <c r="I66" s="347"/>
    </row>
    <row r="67" spans="1:10" s="128" customFormat="1">
      <c r="A67" s="1319" t="s">
        <v>653</v>
      </c>
      <c r="I67" s="347"/>
    </row>
    <row r="68" spans="1:10" s="128" customFormat="1">
      <c r="A68" s="1307" t="s">
        <v>274</v>
      </c>
      <c r="I68" s="347"/>
    </row>
    <row r="69" spans="1:10">
      <c r="A69" s="7" t="s">
        <v>654</v>
      </c>
    </row>
    <row r="70" spans="1:10">
      <c r="A70" s="1532" t="s">
        <v>655</v>
      </c>
      <c r="B70" s="29">
        <v>197241011.58869997</v>
      </c>
      <c r="D70" s="1594" t="s">
        <v>1490</v>
      </c>
      <c r="E70" s="1595">
        <v>16106.45542600053</v>
      </c>
      <c r="F70" s="1532" t="s">
        <v>656</v>
      </c>
    </row>
    <row r="71" spans="1:10">
      <c r="A71" s="71" t="s">
        <v>1111</v>
      </c>
      <c r="B71" s="28">
        <v>12087001.241850883</v>
      </c>
      <c r="D71" s="1596" t="s">
        <v>1663</v>
      </c>
      <c r="E71" s="1597">
        <v>15935.261258425791</v>
      </c>
      <c r="F71" s="1532" t="s">
        <v>657</v>
      </c>
    </row>
    <row r="72" spans="1:10">
      <c r="A72" s="71" t="s">
        <v>1112</v>
      </c>
      <c r="B72" s="28">
        <v>767128.22956677154</v>
      </c>
      <c r="D72" s="1532" t="s">
        <v>658</v>
      </c>
      <c r="E72" s="39">
        <v>0</v>
      </c>
    </row>
    <row r="73" spans="1:10">
      <c r="A73" s="1532" t="s">
        <v>659</v>
      </c>
      <c r="B73" s="28">
        <v>-151348.53799587488</v>
      </c>
      <c r="D73" s="54" t="s">
        <v>478</v>
      </c>
      <c r="E73" s="56"/>
      <c r="F73" s="181"/>
      <c r="I73" s="4" t="s">
        <v>641</v>
      </c>
    </row>
    <row r="74" spans="1:10">
      <c r="A74" s="71" t="s">
        <v>1188</v>
      </c>
      <c r="B74" s="57">
        <v>209943792.52212176</v>
      </c>
      <c r="D74" s="71" t="s">
        <v>344</v>
      </c>
      <c r="E74" s="55">
        <v>0</v>
      </c>
    </row>
    <row r="75" spans="1:10">
      <c r="A75" s="1532" t="s">
        <v>660</v>
      </c>
      <c r="B75" s="29">
        <v>12702780.933421791</v>
      </c>
    </row>
    <row r="76" spans="1:10">
      <c r="A76" s="71" t="s">
        <v>880</v>
      </c>
      <c r="B76" s="1592">
        <v>12702780.933421791</v>
      </c>
      <c r="C76" s="243"/>
    </row>
    <row r="77" spans="1:10">
      <c r="A77" s="1532" t="s">
        <v>661</v>
      </c>
      <c r="C77" s="29"/>
    </row>
    <row r="78" spans="1:10">
      <c r="A78" s="1532" t="s">
        <v>662</v>
      </c>
      <c r="B78" s="29">
        <v>0</v>
      </c>
    </row>
    <row r="79" spans="1:10">
      <c r="A79" s="1532" t="s">
        <v>663</v>
      </c>
      <c r="B79" s="29">
        <v>313291.26358331548</v>
      </c>
    </row>
    <row r="80" spans="1:10" s="4" customFormat="1">
      <c r="A80" s="1532" t="s">
        <v>664</v>
      </c>
      <c r="B80" s="29">
        <v>0</v>
      </c>
      <c r="C80" s="1532"/>
      <c r="D80" s="1532"/>
      <c r="E80" s="1532"/>
      <c r="F80" s="1532"/>
      <c r="G80" s="1532"/>
      <c r="H80" s="1532"/>
      <c r="J80" s="1532"/>
    </row>
    <row r="81" spans="1:10" s="4" customFormat="1">
      <c r="A81" s="1532" t="s">
        <v>665</v>
      </c>
      <c r="B81" s="29">
        <v>904663.99556728476</v>
      </c>
      <c r="C81" s="1532"/>
      <c r="D81" s="1532"/>
      <c r="E81" s="1532"/>
      <c r="F81" s="1532"/>
      <c r="G81" s="1532"/>
      <c r="H81" s="1532"/>
      <c r="J81" s="1532"/>
    </row>
    <row r="82" spans="1:10" s="4" customFormat="1">
      <c r="A82" s="1532" t="s">
        <v>666</v>
      </c>
      <c r="B82" s="29">
        <v>77217.419999999984</v>
      </c>
      <c r="C82" s="1532"/>
      <c r="D82" s="1532"/>
      <c r="E82" s="1532"/>
      <c r="F82" s="1532"/>
      <c r="G82" s="1532"/>
      <c r="H82" s="1532"/>
      <c r="J82" s="1532"/>
    </row>
    <row r="83" spans="1:10" s="4" customFormat="1">
      <c r="A83" s="1532" t="s">
        <v>667</v>
      </c>
      <c r="B83" s="1592">
        <v>11459317.996873792</v>
      </c>
      <c r="C83" s="1532"/>
      <c r="D83" s="1532"/>
      <c r="E83" s="1532"/>
      <c r="F83" s="1532"/>
      <c r="G83" s="1532"/>
      <c r="H83" s="1532"/>
      <c r="J83" s="1532"/>
    </row>
    <row r="84" spans="1:10" s="4" customFormat="1">
      <c r="A84" s="1532"/>
      <c r="B84" s="57">
        <v>12754490.676024392</v>
      </c>
      <c r="C84" s="1532"/>
      <c r="D84" s="1532"/>
      <c r="E84" s="1532"/>
      <c r="F84" s="1532"/>
      <c r="G84" s="1532"/>
      <c r="H84" s="1532"/>
      <c r="J84" s="1532"/>
    </row>
    <row r="85" spans="1:10" s="4" customFormat="1">
      <c r="A85" s="1532" t="s">
        <v>668</v>
      </c>
      <c r="B85" s="29">
        <v>-51709.742602601647</v>
      </c>
      <c r="C85" s="482"/>
      <c r="D85" s="1532"/>
      <c r="E85" s="1532"/>
      <c r="F85" s="1532"/>
      <c r="G85" s="1532"/>
      <c r="H85" s="1532"/>
      <c r="J85" s="1532"/>
    </row>
    <row r="86" spans="1:10" s="4" customFormat="1">
      <c r="A86" s="1532"/>
      <c r="B86" s="29"/>
      <c r="C86" s="1532"/>
      <c r="D86" s="1532"/>
      <c r="E86" s="1532"/>
      <c r="F86" s="1532"/>
      <c r="G86" s="1532"/>
      <c r="H86" s="1532"/>
      <c r="J86" s="1532"/>
    </row>
    <row r="87" spans="1:10" s="4" customFormat="1">
      <c r="A87" s="8"/>
      <c r="B87" s="9" t="s">
        <v>619</v>
      </c>
      <c r="C87" s="9" t="s">
        <v>620</v>
      </c>
      <c r="D87" s="9" t="s">
        <v>621</v>
      </c>
      <c r="E87" s="10" t="s">
        <v>622</v>
      </c>
      <c r="F87" s="10" t="s">
        <v>623</v>
      </c>
      <c r="G87" s="10" t="s">
        <v>624</v>
      </c>
      <c r="H87" s="11" t="s">
        <v>625</v>
      </c>
      <c r="J87" s="1532"/>
    </row>
    <row r="88" spans="1:10" s="4" customFormat="1">
      <c r="A88" s="248" t="s">
        <v>1024</v>
      </c>
      <c r="B88" s="58">
        <v>45304194.101887286</v>
      </c>
      <c r="C88" s="58">
        <v>27858657.754253723</v>
      </c>
      <c r="D88" s="58">
        <v>45036707.67448511</v>
      </c>
      <c r="E88" s="58">
        <v>19157194.23233448</v>
      </c>
      <c r="F88" s="58">
        <v>13826364.945022898</v>
      </c>
      <c r="G88" s="59" t="s">
        <v>669</v>
      </c>
      <c r="H88" s="49">
        <v>151183118.70798352</v>
      </c>
      <c r="J88" s="1532"/>
    </row>
    <row r="89" spans="1:10" s="4" customFormat="1">
      <c r="A89" s="60" t="s">
        <v>670</v>
      </c>
      <c r="B89" s="26">
        <v>0.29966437052667383</v>
      </c>
      <c r="C89" s="26">
        <v>0.18427095559566989</v>
      </c>
      <c r="D89" s="26">
        <v>0.29789508285958421</v>
      </c>
      <c r="E89" s="26">
        <v>0.12671516764604782</v>
      </c>
      <c r="F89" s="26">
        <v>9.1454423372024071E-2</v>
      </c>
      <c r="G89" s="26"/>
      <c r="H89" s="851">
        <v>0.99999999999999978</v>
      </c>
      <c r="J89" s="1532"/>
    </row>
    <row r="90" spans="1:10" s="4" customFormat="1">
      <c r="A90" s="62" t="s">
        <v>671</v>
      </c>
      <c r="B90" s="1593">
        <v>-15495.567467104951</v>
      </c>
      <c r="C90" s="31">
        <v>-9528.6036829875284</v>
      </c>
      <c r="D90" s="31">
        <v>-15404.07805724979</v>
      </c>
      <c r="E90" s="31">
        <v>-6552.4087028226486</v>
      </c>
      <c r="F90" s="31">
        <v>-4729.0846924367206</v>
      </c>
      <c r="G90" s="31">
        <v>0</v>
      </c>
      <c r="H90" s="32">
        <v>-51709.74260260164</v>
      </c>
      <c r="J90" s="1532"/>
    </row>
    <row r="91" spans="1:10" s="4" customFormat="1">
      <c r="A91" s="25"/>
      <c r="B91" s="28"/>
      <c r="C91" s="28"/>
      <c r="D91" s="28"/>
      <c r="E91" s="28"/>
      <c r="F91" s="28"/>
      <c r="G91" s="28"/>
      <c r="H91" s="29"/>
      <c r="J91" s="1532"/>
    </row>
    <row r="93" spans="1:10" s="4" customFormat="1">
      <c r="A93" s="1532" t="s">
        <v>672</v>
      </c>
      <c r="B93" s="1532"/>
      <c r="C93" s="1532"/>
      <c r="D93" s="1532"/>
      <c r="E93" s="1532"/>
      <c r="F93" s="1532"/>
      <c r="G93" s="1532"/>
      <c r="H93" s="1532"/>
      <c r="J93" s="1532"/>
    </row>
    <row r="94" spans="1:10" s="4" customFormat="1">
      <c r="A94" s="7" t="s">
        <v>1662</v>
      </c>
      <c r="B94" s="1532"/>
      <c r="C94" s="1532"/>
      <c r="D94" s="1532"/>
      <c r="E94" s="1532"/>
      <c r="F94" s="1532"/>
      <c r="G94" s="1532"/>
      <c r="H94" s="1532"/>
      <c r="J94" s="1532"/>
    </row>
    <row r="95" spans="1:10" s="4" customFormat="1">
      <c r="A95" s="8"/>
      <c r="B95" s="9" t="s">
        <v>619</v>
      </c>
      <c r="C95" s="9" t="s">
        <v>620</v>
      </c>
      <c r="D95" s="9" t="s">
        <v>621</v>
      </c>
      <c r="E95" s="10" t="s">
        <v>622</v>
      </c>
      <c r="F95" s="10" t="s">
        <v>623</v>
      </c>
      <c r="G95" s="10" t="s">
        <v>624</v>
      </c>
      <c r="H95" s="11" t="s">
        <v>625</v>
      </c>
      <c r="J95" s="1532"/>
    </row>
    <row r="96" spans="1:10" s="4" customFormat="1">
      <c r="A96" s="248" t="s">
        <v>1024</v>
      </c>
      <c r="B96" s="13">
        <v>45304194.101887286</v>
      </c>
      <c r="C96" s="13">
        <v>27858657.754253723</v>
      </c>
      <c r="D96" s="13">
        <v>45036707.67448511</v>
      </c>
      <c r="E96" s="13">
        <v>19157194.23233448</v>
      </c>
      <c r="F96" s="13">
        <v>13826364.945022898</v>
      </c>
      <c r="G96" s="13">
        <v>46057892.880716443</v>
      </c>
      <c r="H96" s="14">
        <v>197241011.58869997</v>
      </c>
      <c r="J96" s="1532"/>
    </row>
    <row r="97" spans="1:10" s="4" customFormat="1">
      <c r="A97" s="18" t="s">
        <v>662</v>
      </c>
      <c r="B97" s="58">
        <v>0</v>
      </c>
      <c r="C97" s="58">
        <v>0</v>
      </c>
      <c r="D97" s="58">
        <v>0</v>
      </c>
      <c r="E97" s="58">
        <v>0</v>
      </c>
      <c r="F97" s="58">
        <v>0</v>
      </c>
      <c r="G97" s="58">
        <v>0</v>
      </c>
      <c r="H97" s="49">
        <v>0</v>
      </c>
      <c r="J97" s="1532"/>
    </row>
    <row r="98" spans="1:10" s="4" customFormat="1">
      <c r="A98" s="18" t="s">
        <v>673</v>
      </c>
      <c r="B98" s="13">
        <v>0</v>
      </c>
      <c r="C98" s="13">
        <v>0</v>
      </c>
      <c r="D98" s="13">
        <v>0</v>
      </c>
      <c r="E98" s="13">
        <v>0</v>
      </c>
      <c r="F98" s="13">
        <v>0</v>
      </c>
      <c r="G98" s="13">
        <v>313291.26358331548</v>
      </c>
      <c r="H98" s="49">
        <v>313291.26358331548</v>
      </c>
      <c r="J98" s="1532"/>
    </row>
    <row r="99" spans="1:10" s="4" customFormat="1">
      <c r="A99" s="18" t="s">
        <v>664</v>
      </c>
      <c r="B99" s="13">
        <v>0</v>
      </c>
      <c r="C99" s="13">
        <v>0</v>
      </c>
      <c r="D99" s="13">
        <v>0</v>
      </c>
      <c r="E99" s="13">
        <v>0</v>
      </c>
      <c r="F99" s="13">
        <v>0</v>
      </c>
      <c r="G99" s="13">
        <v>0</v>
      </c>
      <c r="H99" s="49">
        <v>0</v>
      </c>
      <c r="J99" s="1532"/>
    </row>
    <row r="100" spans="1:10" s="4" customFormat="1">
      <c r="A100" s="18" t="s">
        <v>665</v>
      </c>
      <c r="B100" s="58">
        <v>650880.51536638057</v>
      </c>
      <c r="C100" s="58">
        <v>210194.75313952495</v>
      </c>
      <c r="D100" s="58">
        <v>43588.727061379235</v>
      </c>
      <c r="E100" s="58">
        <v>0</v>
      </c>
      <c r="F100" s="58">
        <v>0</v>
      </c>
      <c r="G100" s="58">
        <v>0</v>
      </c>
      <c r="H100" s="49">
        <v>904663.99556728476</v>
      </c>
      <c r="J100" s="29"/>
    </row>
    <row r="101" spans="1:10" s="4" customFormat="1">
      <c r="A101" s="18" t="s">
        <v>666</v>
      </c>
      <c r="B101" s="13">
        <v>0</v>
      </c>
      <c r="C101" s="13">
        <v>0</v>
      </c>
      <c r="D101" s="13">
        <v>0</v>
      </c>
      <c r="E101" s="13">
        <v>64634.0625</v>
      </c>
      <c r="F101" s="13">
        <v>0</v>
      </c>
      <c r="G101" s="13">
        <v>12583.357499999984</v>
      </c>
      <c r="H101" s="49">
        <v>77217.419999999984</v>
      </c>
      <c r="J101" s="1532"/>
    </row>
    <row r="102" spans="1:10" s="4" customFormat="1">
      <c r="A102" s="18" t="s">
        <v>667</v>
      </c>
      <c r="B102" s="13">
        <v>161438.49715464</v>
      </c>
      <c r="C102" s="13">
        <v>58239.131648489994</v>
      </c>
      <c r="D102" s="13">
        <v>260507.35440774</v>
      </c>
      <c r="E102" s="13">
        <v>166832.07007545</v>
      </c>
      <c r="F102" s="13">
        <v>28997.366453369996</v>
      </c>
      <c r="G102" s="13">
        <v>10783303.577134103</v>
      </c>
      <c r="H102" s="49">
        <v>11459317.996873792</v>
      </c>
      <c r="J102" s="1532"/>
    </row>
    <row r="103" spans="1:10" s="4" customFormat="1">
      <c r="A103" s="18" t="s">
        <v>674</v>
      </c>
      <c r="B103" s="63">
        <v>-15495.567467104951</v>
      </c>
      <c r="C103" s="63">
        <v>-9528.6036829875284</v>
      </c>
      <c r="D103" s="63">
        <v>-15404.07805724979</v>
      </c>
      <c r="E103" s="63">
        <v>-6552.4087028226486</v>
      </c>
      <c r="F103" s="63">
        <v>-4729.0846924367206</v>
      </c>
      <c r="G103" s="63">
        <v>0</v>
      </c>
      <c r="H103" s="32">
        <v>-51709.74260260164</v>
      </c>
      <c r="J103" s="29"/>
    </row>
    <row r="104" spans="1:10" s="4" customFormat="1">
      <c r="A104" s="18" t="s">
        <v>675</v>
      </c>
      <c r="B104" s="63">
        <v>796823.44505391561</v>
      </c>
      <c r="C104" s="63">
        <v>258905.28110502739</v>
      </c>
      <c r="D104" s="63">
        <v>288692.00341186946</v>
      </c>
      <c r="E104" s="63">
        <v>224913.72387262736</v>
      </c>
      <c r="F104" s="63">
        <v>24268.281760933274</v>
      </c>
      <c r="G104" s="63">
        <v>11109178.198217418</v>
      </c>
      <c r="H104" s="32">
        <v>12702780.933421791</v>
      </c>
      <c r="J104" s="1532"/>
    </row>
    <row r="105" spans="1:10" s="4" customFormat="1">
      <c r="A105" s="8"/>
      <c r="B105" s="9" t="s">
        <v>619</v>
      </c>
      <c r="C105" s="9" t="s">
        <v>620</v>
      </c>
      <c r="D105" s="9" t="s">
        <v>621</v>
      </c>
      <c r="E105" s="10" t="s">
        <v>622</v>
      </c>
      <c r="F105" s="10" t="s">
        <v>623</v>
      </c>
      <c r="G105" s="10" t="s">
        <v>624</v>
      </c>
      <c r="H105" s="11" t="s">
        <v>625</v>
      </c>
      <c r="J105" s="1532"/>
    </row>
    <row r="106" spans="1:10" s="1613" customFormat="1">
      <c r="A106" s="1572" t="s">
        <v>1190</v>
      </c>
      <c r="B106" s="1614">
        <v>46101017.546941198</v>
      </c>
      <c r="C106" s="1614">
        <v>28117563.035358749</v>
      </c>
      <c r="D106" s="1614">
        <v>45325399.677896976</v>
      </c>
      <c r="E106" s="1614">
        <v>19382107.956207108</v>
      </c>
      <c r="F106" s="1614">
        <v>13850633.226783831</v>
      </c>
      <c r="G106" s="1614">
        <v>57167070.578933865</v>
      </c>
      <c r="H106" s="1615">
        <v>209943792.52212176</v>
      </c>
      <c r="J106" s="1563"/>
    </row>
    <row r="107" spans="1:10" s="4" customFormat="1">
      <c r="A107" s="1532"/>
      <c r="B107" s="1532"/>
      <c r="C107" s="1532"/>
      <c r="D107" s="1532"/>
      <c r="E107" s="1532"/>
      <c r="F107" s="1532"/>
      <c r="G107" s="1532"/>
      <c r="H107" s="29"/>
      <c r="J107" s="1532"/>
    </row>
    <row r="108" spans="1:10" s="4" customFormat="1">
      <c r="A108" s="314" t="s">
        <v>957</v>
      </c>
      <c r="B108" s="28">
        <v>425389.20958643407</v>
      </c>
      <c r="C108" s="28">
        <v>261582.23619581596</v>
      </c>
      <c r="D108" s="28">
        <v>422877.61342666548</v>
      </c>
      <c r="E108" s="28">
        <v>179878.79210607291</v>
      </c>
      <c r="F108" s="28">
        <v>129824.32580501096</v>
      </c>
      <c r="G108" s="1532"/>
      <c r="H108" s="29">
        <v>1419552.1771199994</v>
      </c>
      <c r="J108" s="1532"/>
    </row>
    <row r="109" spans="1:10" s="4" customFormat="1">
      <c r="A109" s="1532"/>
      <c r="B109" s="1532"/>
      <c r="C109" s="1532"/>
      <c r="D109" s="1532"/>
      <c r="E109" s="1532"/>
      <c r="F109" s="1532"/>
      <c r="G109" s="1532"/>
      <c r="H109" s="29"/>
      <c r="J109" s="1532"/>
    </row>
    <row r="110" spans="1:10" s="1613" customFormat="1">
      <c r="A110" s="1612" t="s">
        <v>958</v>
      </c>
      <c r="B110" s="1561">
        <v>46526406.756527632</v>
      </c>
      <c r="C110" s="1561">
        <v>28379145.271554567</v>
      </c>
      <c r="D110" s="1561">
        <v>45748277.291323639</v>
      </c>
      <c r="E110" s="1561">
        <v>19561986.748313181</v>
      </c>
      <c r="F110" s="1561">
        <v>13980457.552588841</v>
      </c>
      <c r="G110" s="1561">
        <v>57167070.578933865</v>
      </c>
      <c r="H110" s="1561">
        <v>211363344.69924176</v>
      </c>
      <c r="J110" s="1563"/>
    </row>
    <row r="111" spans="1:10">
      <c r="A111" s="314"/>
      <c r="B111" s="13"/>
      <c r="C111" s="13"/>
      <c r="D111" s="13"/>
      <c r="E111" s="13"/>
      <c r="F111" s="13"/>
      <c r="G111" s="13"/>
      <c r="H111" s="13"/>
    </row>
    <row r="112" spans="1:10">
      <c r="A112" s="314"/>
      <c r="B112" s="13"/>
      <c r="C112" s="13"/>
      <c r="D112" s="13"/>
      <c r="E112" s="13"/>
      <c r="F112" s="13"/>
      <c r="G112" s="13"/>
      <c r="H112" s="13"/>
    </row>
    <row r="113" spans="1:10">
      <c r="A113" s="314"/>
      <c r="B113" s="65"/>
      <c r="C113" s="13"/>
      <c r="F113" s="20"/>
      <c r="G113" s="20"/>
      <c r="H113" s="29"/>
    </row>
    <row r="114" spans="1:10" s="4" customFormat="1">
      <c r="A114" s="1532"/>
      <c r="B114" s="1532"/>
      <c r="C114" s="1532"/>
      <c r="D114" s="1532"/>
      <c r="E114" s="1532"/>
      <c r="F114" s="20"/>
      <c r="G114" s="58"/>
      <c r="H114" s="29"/>
      <c r="J114" s="1532"/>
    </row>
    <row r="115" spans="1:10" s="4" customFormat="1">
      <c r="A115" s="66" t="s">
        <v>677</v>
      </c>
      <c r="B115" s="1532"/>
      <c r="C115" s="67">
        <v>1587688</v>
      </c>
      <c r="D115" s="1532"/>
      <c r="E115" s="1532"/>
      <c r="F115" s="20"/>
      <c r="G115" s="58"/>
      <c r="H115" s="1532"/>
      <c r="J115" s="1532"/>
    </row>
    <row r="116" spans="1:10" s="4" customFormat="1">
      <c r="A116" s="1532" t="s">
        <v>679</v>
      </c>
      <c r="B116" s="1532"/>
      <c r="C116" s="68">
        <v>4.3542449602890798</v>
      </c>
      <c r="D116" s="1532"/>
      <c r="E116" s="1532"/>
      <c r="F116" s="20"/>
      <c r="G116" s="58"/>
      <c r="H116" s="1532"/>
      <c r="J116" s="1532"/>
    </row>
    <row r="117" spans="1:10" s="4" customFormat="1">
      <c r="A117" s="1532" t="s">
        <v>680</v>
      </c>
      <c r="B117" s="1532"/>
      <c r="C117" s="69">
        <v>5.8487379309735986E-2</v>
      </c>
      <c r="D117" s="1532"/>
      <c r="E117" s="1532"/>
      <c r="F117" s="1532"/>
      <c r="G117" s="1532"/>
      <c r="H117" s="29"/>
      <c r="J117" s="1532"/>
    </row>
    <row r="118" spans="1:10" s="4" customFormat="1">
      <c r="A118" s="1532" t="s">
        <v>681</v>
      </c>
      <c r="B118" s="1532"/>
      <c r="C118" s="69">
        <v>0.16207500525728061</v>
      </c>
      <c r="D118" s="1532"/>
      <c r="E118" s="1532"/>
      <c r="F118" s="1532"/>
      <c r="G118" s="1532"/>
      <c r="H118" s="1532"/>
      <c r="J118" s="1532"/>
    </row>
  </sheetData>
  <pageMargins left="0.75" right="0.75" top="1" bottom="1" header="0.5" footer="0.5"/>
  <pageSetup orientation="landscape" r:id="rId1"/>
  <headerFooter alignWithMargins="0">
    <oddHeader>&amp;CPrelim Budget 14/15</oddHeader>
  </headerFooter>
  <rowBreaks count="3" manualBreakCount="3">
    <brk id="30" max="8" man="1"/>
    <brk id="66" max="8" man="1"/>
    <brk id="92" max="8"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J118"/>
  <sheetViews>
    <sheetView topLeftCell="A29" workbookViewId="0">
      <selection activeCell="A29" sqref="A1:XFD1048576"/>
    </sheetView>
  </sheetViews>
  <sheetFormatPr defaultColWidth="9.28515625" defaultRowHeight="12.75"/>
  <cols>
    <col min="1" max="1" width="19.42578125" style="1158" customWidth="1"/>
    <col min="2" max="5" width="13.42578125" style="1158" customWidth="1"/>
    <col min="6" max="6" width="13.42578125" style="1158" bestFit="1" customWidth="1"/>
    <col min="7" max="8" width="15" style="1158" bestFit="1" customWidth="1"/>
    <col min="9" max="9" width="7" style="4" bestFit="1" customWidth="1"/>
    <col min="10" max="10" width="22.42578125" style="1158" bestFit="1" customWidth="1"/>
    <col min="11" max="16384" width="9.28515625" style="1158"/>
  </cols>
  <sheetData>
    <row r="1" spans="1:9">
      <c r="A1" s="1" t="s">
        <v>1486</v>
      </c>
      <c r="H1" s="3" t="s">
        <v>615</v>
      </c>
    </row>
    <row r="2" spans="1:9">
      <c r="A2" s="5"/>
    </row>
    <row r="3" spans="1:9">
      <c r="A3" s="1"/>
    </row>
    <row r="4" spans="1:9">
      <c r="A4" s="6" t="s">
        <v>616</v>
      </c>
    </row>
    <row r="5" spans="1:9">
      <c r="A5" s="6" t="s">
        <v>617</v>
      </c>
    </row>
    <row r="6" spans="1:9">
      <c r="F6" s="29"/>
    </row>
    <row r="7" spans="1:9">
      <c r="A7" s="7" t="s">
        <v>618</v>
      </c>
    </row>
    <row r="8" spans="1:9">
      <c r="A8" s="8"/>
      <c r="B8" s="9" t="s">
        <v>619</v>
      </c>
      <c r="C8" s="9" t="s">
        <v>620</v>
      </c>
      <c r="D8" s="9" t="s">
        <v>621</v>
      </c>
      <c r="E8" s="10" t="s">
        <v>622</v>
      </c>
      <c r="F8" s="10" t="s">
        <v>623</v>
      </c>
      <c r="G8" s="10" t="s">
        <v>624</v>
      </c>
      <c r="H8" s="11" t="s">
        <v>625</v>
      </c>
    </row>
    <row r="9" spans="1:9">
      <c r="A9" s="248" t="s">
        <v>1190</v>
      </c>
      <c r="B9" s="1590">
        <v>44804888.56068369</v>
      </c>
      <c r="C9" s="1590">
        <v>27676350.750409115</v>
      </c>
      <c r="D9" s="1590">
        <v>44730328.410442285</v>
      </c>
      <c r="E9" s="1590">
        <v>18905539.312678408</v>
      </c>
      <c r="F9" s="1590">
        <v>14082329.385537228</v>
      </c>
      <c r="G9" s="1590">
        <v>33399787.377272725</v>
      </c>
      <c r="H9" s="1591">
        <v>183599223.79702345</v>
      </c>
      <c r="I9" s="4" t="s">
        <v>626</v>
      </c>
    </row>
    <row r="10" spans="1:9">
      <c r="A10" s="20"/>
      <c r="B10" s="65">
        <v>0.38225654200896558</v>
      </c>
      <c r="C10" s="65">
        <v>0.23612303195330597</v>
      </c>
      <c r="D10" s="65">
        <v>0.3816204260377285</v>
      </c>
      <c r="E10" s="20"/>
      <c r="F10" s="20"/>
      <c r="G10" s="20"/>
      <c r="H10" s="20"/>
    </row>
    <row r="11" spans="1:9">
      <c r="A11" s="150" t="s">
        <v>1186</v>
      </c>
      <c r="B11" s="19">
        <v>6806.6511904761901</v>
      </c>
      <c r="C11" s="19">
        <v>3508.5075000000002</v>
      </c>
      <c r="D11" s="19">
        <v>6432.5453809523806</v>
      </c>
      <c r="E11" s="20"/>
      <c r="F11" s="20"/>
      <c r="G11" s="20"/>
      <c r="H11" s="21">
        <v>16747.704071428569</v>
      </c>
    </row>
    <row r="12" spans="1:9">
      <c r="A12" s="150" t="s">
        <v>1022</v>
      </c>
      <c r="B12" s="19">
        <v>7346</v>
      </c>
      <c r="C12" s="19">
        <v>3852</v>
      </c>
      <c r="D12" s="19">
        <v>6945</v>
      </c>
      <c r="E12" s="20"/>
      <c r="F12" s="20"/>
      <c r="G12" s="20"/>
      <c r="H12" s="21">
        <v>18143</v>
      </c>
    </row>
    <row r="13" spans="1:9">
      <c r="A13" s="248" t="s">
        <v>1006</v>
      </c>
      <c r="B13" s="19">
        <v>7294.4735188305349</v>
      </c>
      <c r="C13" s="19">
        <v>3958.92</v>
      </c>
      <c r="D13" s="19">
        <v>6890.6134526693495</v>
      </c>
      <c r="E13" s="20"/>
      <c r="F13" s="20"/>
      <c r="G13" s="20"/>
      <c r="H13" s="21">
        <v>18144.006971499883</v>
      </c>
    </row>
    <row r="14" spans="1:9">
      <c r="A14" s="248" t="s">
        <v>934</v>
      </c>
      <c r="B14" s="19">
        <v>7658.2554667969489</v>
      </c>
      <c r="C14" s="19">
        <v>4056.4399999999996</v>
      </c>
      <c r="D14" s="19">
        <v>6910.6983661673603</v>
      </c>
      <c r="E14" s="20"/>
      <c r="F14" s="20"/>
      <c r="G14" s="20"/>
      <c r="H14" s="21">
        <v>18625.393832964306</v>
      </c>
    </row>
    <row r="15" spans="1:9">
      <c r="A15" s="248" t="s">
        <v>826</v>
      </c>
      <c r="B15" s="19">
        <v>7939</v>
      </c>
      <c r="C15" s="19">
        <v>4097</v>
      </c>
      <c r="D15" s="19">
        <v>6906</v>
      </c>
      <c r="E15" s="20"/>
      <c r="F15" s="20"/>
      <c r="G15" s="20"/>
      <c r="H15" s="21">
        <v>18942</v>
      </c>
    </row>
    <row r="16" spans="1:9">
      <c r="A16" s="254" t="s">
        <v>888</v>
      </c>
      <c r="B16" s="22">
        <v>7408.8760352207346</v>
      </c>
      <c r="C16" s="22">
        <v>3894.5735</v>
      </c>
      <c r="D16" s="22">
        <v>6816.9714399578179</v>
      </c>
      <c r="E16" s="23"/>
      <c r="F16" s="23"/>
      <c r="G16" s="23"/>
      <c r="H16" s="24">
        <v>18120.420975178553</v>
      </c>
      <c r="I16" s="4" t="s">
        <v>630</v>
      </c>
    </row>
    <row r="17" spans="1:10">
      <c r="A17" s="25" t="s">
        <v>631</v>
      </c>
      <c r="B17" s="65">
        <v>0.40886886929224503</v>
      </c>
      <c r="C17" s="65">
        <v>0.21492731903606474</v>
      </c>
      <c r="D17" s="65">
        <v>0.37620381167169026</v>
      </c>
      <c r="E17" s="20"/>
      <c r="F17" s="20"/>
      <c r="G17" s="20"/>
      <c r="H17" s="19"/>
    </row>
    <row r="18" spans="1:10">
      <c r="A18" s="25"/>
      <c r="B18" s="26"/>
      <c r="C18" s="26"/>
      <c r="D18" s="26"/>
      <c r="E18" s="20"/>
      <c r="F18" s="20"/>
      <c r="G18" s="20"/>
      <c r="H18" s="19"/>
    </row>
    <row r="19" spans="1:10" s="4" customFormat="1">
      <c r="A19" s="25"/>
      <c r="B19" s="1158"/>
      <c r="C19" s="1158"/>
      <c r="D19" s="1158"/>
      <c r="E19" s="1158"/>
      <c r="F19" s="1158"/>
      <c r="G19" s="1158"/>
      <c r="H19" s="1158"/>
      <c r="J19" s="1158"/>
    </row>
    <row r="20" spans="1:10" s="4" customFormat="1">
      <c r="A20" s="30" t="s">
        <v>1109</v>
      </c>
      <c r="B20" s="1158"/>
      <c r="C20" s="1158"/>
      <c r="D20" s="1158"/>
      <c r="E20" s="1158"/>
      <c r="F20" s="1158"/>
      <c r="G20" s="1158"/>
      <c r="H20" s="1158"/>
      <c r="J20" s="1158"/>
    </row>
    <row r="21" spans="1:10" s="4" customFormat="1">
      <c r="A21" s="25" t="s">
        <v>638</v>
      </c>
      <c r="B21" s="29"/>
      <c r="C21" s="29"/>
      <c r="D21" s="29"/>
      <c r="E21" s="1158"/>
      <c r="F21" s="1158"/>
      <c r="G21" s="1158"/>
      <c r="H21" s="28">
        <v>0</v>
      </c>
      <c r="J21" s="1158"/>
    </row>
    <row r="22" spans="1:10" s="4" customFormat="1">
      <c r="A22" s="25"/>
      <c r="B22" s="29"/>
      <c r="C22" s="29"/>
      <c r="D22" s="29"/>
      <c r="E22" s="1158"/>
      <c r="F22" s="1158"/>
      <c r="G22" s="1158"/>
      <c r="H22" s="28"/>
      <c r="J22" s="1158"/>
    </row>
    <row r="24" spans="1:10" s="4" customFormat="1">
      <c r="A24" s="6" t="s">
        <v>639</v>
      </c>
      <c r="B24" s="1158"/>
      <c r="C24" s="1158"/>
      <c r="D24" s="1158"/>
      <c r="E24" s="1158"/>
      <c r="F24" s="1158"/>
      <c r="G24" s="1158"/>
      <c r="H24" s="1158"/>
      <c r="J24" s="1158"/>
    </row>
    <row r="25" spans="1:10" s="4" customFormat="1">
      <c r="A25" s="7" t="s">
        <v>1487</v>
      </c>
      <c r="B25" s="1158"/>
      <c r="C25" s="1158"/>
      <c r="D25" s="1158"/>
      <c r="E25" s="1158"/>
      <c r="F25" s="1158"/>
      <c r="G25" s="1158"/>
      <c r="H25" s="1158"/>
      <c r="J25" s="1158"/>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v>1858957.8504334707</v>
      </c>
      <c r="H27" s="32">
        <v>1858957.8504334707</v>
      </c>
      <c r="I27" s="4" t="s">
        <v>641</v>
      </c>
    </row>
    <row r="28" spans="1:10">
      <c r="A28" s="16"/>
      <c r="G28" s="28"/>
      <c r="H28" s="29"/>
    </row>
    <row r="29" spans="1:10">
      <c r="A29" s="20"/>
      <c r="G29" s="29"/>
    </row>
    <row r="30" spans="1:10" s="1908" customFormat="1">
      <c r="A30" s="1529" t="s">
        <v>1883</v>
      </c>
      <c r="B30" s="424">
        <v>4.4348541355534676</v>
      </c>
      <c r="C30" s="1529" t="s">
        <v>1882</v>
      </c>
      <c r="E30" s="1236"/>
      <c r="F30" s="128"/>
      <c r="H30" s="1527" t="s">
        <v>1654</v>
      </c>
      <c r="I30" s="4"/>
    </row>
    <row r="31" spans="1:10">
      <c r="A31" s="33" t="s">
        <v>1489</v>
      </c>
    </row>
    <row r="32" spans="1:10">
      <c r="A32" s="8"/>
      <c r="B32" s="9" t="s">
        <v>619</v>
      </c>
      <c r="C32" s="9" t="s">
        <v>620</v>
      </c>
      <c r="D32" s="9" t="s">
        <v>621</v>
      </c>
      <c r="E32" s="10" t="s">
        <v>622</v>
      </c>
      <c r="F32" s="10" t="s">
        <v>623</v>
      </c>
      <c r="G32" s="10" t="s">
        <v>624</v>
      </c>
      <c r="H32" s="11" t="s">
        <v>625</v>
      </c>
    </row>
    <row r="33" spans="1:10">
      <c r="A33" s="12"/>
      <c r="B33" s="22"/>
      <c r="C33" s="22"/>
      <c r="D33" s="22"/>
      <c r="E33" s="23"/>
      <c r="F33" s="335">
        <v>0</v>
      </c>
      <c r="G33" s="23"/>
      <c r="H33" s="32">
        <v>0</v>
      </c>
      <c r="J33" s="71" t="s">
        <v>22</v>
      </c>
    </row>
    <row r="34" spans="1:10">
      <c r="A34" s="20"/>
      <c r="B34" s="19"/>
      <c r="C34" s="19"/>
      <c r="D34" s="19"/>
      <c r="F34" s="28"/>
      <c r="H34" s="29"/>
    </row>
    <row r="35" spans="1:10">
      <c r="A35" s="20"/>
      <c r="B35" s="19"/>
      <c r="C35" s="19"/>
      <c r="D35" s="19"/>
    </row>
    <row r="36" spans="1:10">
      <c r="A36" s="6" t="s">
        <v>642</v>
      </c>
    </row>
    <row r="37" spans="1:10">
      <c r="A37" s="7" t="s">
        <v>1491</v>
      </c>
      <c r="D37" s="7"/>
      <c r="J37" s="34"/>
    </row>
    <row r="38" spans="1:10">
      <c r="A38" s="8"/>
      <c r="B38" s="9" t="s">
        <v>619</v>
      </c>
      <c r="C38" s="9" t="s">
        <v>620</v>
      </c>
      <c r="D38" s="9" t="s">
        <v>621</v>
      </c>
      <c r="E38" s="10" t="s">
        <v>622</v>
      </c>
      <c r="F38" s="10" t="s">
        <v>623</v>
      </c>
      <c r="G38" s="10" t="s">
        <v>624</v>
      </c>
      <c r="H38" s="11" t="s">
        <v>625</v>
      </c>
    </row>
    <row r="39" spans="1:10">
      <c r="A39" s="248" t="s">
        <v>1490</v>
      </c>
      <c r="B39" s="19">
        <v>6576.9713919659471</v>
      </c>
      <c r="C39" s="19">
        <v>3398.9599525423728</v>
      </c>
      <c r="D39" s="19">
        <v>6130.524081492209</v>
      </c>
      <c r="E39" s="20"/>
      <c r="F39" s="20"/>
      <c r="G39" s="19"/>
      <c r="H39" s="35">
        <v>16106.45542600053</v>
      </c>
    </row>
    <row r="40" spans="1:10">
      <c r="A40" s="248" t="s">
        <v>889</v>
      </c>
      <c r="B40" s="36">
        <v>7136.4703136139242</v>
      </c>
      <c r="C40" s="36">
        <v>3754.9654905084744</v>
      </c>
      <c r="D40" s="36">
        <v>6661.8762562562597</v>
      </c>
      <c r="E40" s="20"/>
      <c r="F40" s="20"/>
      <c r="G40" s="20">
        <v>0</v>
      </c>
      <c r="H40" s="35">
        <v>17553.312060378659</v>
      </c>
    </row>
    <row r="41" spans="1:10">
      <c r="A41" s="254" t="s">
        <v>890</v>
      </c>
      <c r="B41" s="37">
        <v>-272.4057216068104</v>
      </c>
      <c r="C41" s="37">
        <v>-139.60800949152554</v>
      </c>
      <c r="D41" s="37">
        <v>-155.0951837015582</v>
      </c>
      <c r="E41" s="23"/>
      <c r="F41" s="23"/>
      <c r="G41" s="23">
        <v>0</v>
      </c>
      <c r="H41" s="38">
        <v>-567.10891479989414</v>
      </c>
      <c r="J41" s="39"/>
    </row>
    <row r="42" spans="1:10">
      <c r="A42" s="7" t="s">
        <v>1105</v>
      </c>
    </row>
    <row r="43" spans="1:10" s="128" customFormat="1">
      <c r="A43" s="1307"/>
      <c r="H43" s="1308">
        <v>3575</v>
      </c>
      <c r="I43" s="347"/>
    </row>
    <row r="44" spans="1:10" s="128" customFormat="1">
      <c r="A44" s="1309" t="s">
        <v>646</v>
      </c>
      <c r="B44" s="404"/>
      <c r="C44" s="404"/>
      <c r="D44" s="404"/>
      <c r="E44" s="1310"/>
      <c r="F44" s="1310"/>
      <c r="G44" s="404">
        <v>0</v>
      </c>
      <c r="H44" s="1311">
        <v>0</v>
      </c>
      <c r="I44" s="347"/>
      <c r="J44" s="128">
        <v>3919.7556116204159</v>
      </c>
    </row>
    <row r="45" spans="1:10" s="128" customFormat="1">
      <c r="A45" s="1312" t="s">
        <v>914</v>
      </c>
      <c r="B45" s="335">
        <v>290020.94241904817</v>
      </c>
      <c r="C45" s="335">
        <v>94512.938944681315</v>
      </c>
      <c r="D45" s="335">
        <v>-1894.5709391660057</v>
      </c>
      <c r="E45" s="402"/>
      <c r="F45" s="402"/>
      <c r="G45" s="335"/>
      <c r="H45" s="1313">
        <v>382639.31042456347</v>
      </c>
      <c r="I45" s="347"/>
    </row>
    <row r="46" spans="1:10" s="128" customFormat="1">
      <c r="A46" s="1312" t="s">
        <v>625</v>
      </c>
      <c r="B46" s="335">
        <v>290020.94241904817</v>
      </c>
      <c r="C46" s="335">
        <v>94512.938944681315</v>
      </c>
      <c r="D46" s="335">
        <v>-1894.5709391660057</v>
      </c>
      <c r="E46" s="402"/>
      <c r="F46" s="402"/>
      <c r="G46" s="402"/>
      <c r="H46" s="1313">
        <v>382639.31042456347</v>
      </c>
      <c r="I46" s="347" t="s">
        <v>647</v>
      </c>
    </row>
    <row r="47" spans="1:10" s="128" customFormat="1">
      <c r="I47" s="347"/>
    </row>
    <row r="48" spans="1:10" s="128" customFormat="1">
      <c r="A48" s="1314" t="s">
        <v>891</v>
      </c>
      <c r="H48" s="1315"/>
      <c r="I48" s="347"/>
    </row>
    <row r="49" spans="1:9" s="128" customFormat="1">
      <c r="A49" s="1316" t="s">
        <v>1007</v>
      </c>
      <c r="I49" s="347"/>
    </row>
    <row r="50" spans="1:9" s="128" customFormat="1">
      <c r="A50" s="1309"/>
      <c r="B50" s="45" t="s">
        <v>619</v>
      </c>
      <c r="C50" s="45" t="s">
        <v>620</v>
      </c>
      <c r="D50" s="45" t="s">
        <v>621</v>
      </c>
      <c r="E50" s="45" t="s">
        <v>622</v>
      </c>
      <c r="F50" s="45" t="s">
        <v>623</v>
      </c>
      <c r="G50" s="45" t="s">
        <v>624</v>
      </c>
      <c r="H50" s="1317" t="s">
        <v>625</v>
      </c>
      <c r="I50" s="347"/>
    </row>
    <row r="51" spans="1:9" s="128" customFormat="1">
      <c r="A51" s="60" t="s">
        <v>646</v>
      </c>
      <c r="B51" s="25"/>
      <c r="C51" s="25"/>
      <c r="D51" s="25"/>
      <c r="E51" s="125">
        <v>0</v>
      </c>
      <c r="F51" s="125">
        <v>0</v>
      </c>
      <c r="G51" s="25"/>
      <c r="H51" s="1318">
        <v>0</v>
      </c>
      <c r="I51" s="347" t="s">
        <v>648</v>
      </c>
    </row>
    <row r="52" spans="1:9" s="128" customFormat="1">
      <c r="A52" s="1312" t="s">
        <v>914</v>
      </c>
      <c r="B52" s="402"/>
      <c r="C52" s="402"/>
      <c r="D52" s="402"/>
      <c r="E52" s="335">
        <v>64634.0625</v>
      </c>
      <c r="F52" s="335"/>
      <c r="G52" s="335">
        <v>12583.357499999984</v>
      </c>
      <c r="H52" s="1313">
        <v>77217.419999999984</v>
      </c>
      <c r="I52" s="347"/>
    </row>
    <row r="53" spans="1:9" s="128" customFormat="1">
      <c r="A53" s="1312" t="s">
        <v>625</v>
      </c>
      <c r="B53" s="335">
        <v>0</v>
      </c>
      <c r="C53" s="335">
        <v>0</v>
      </c>
      <c r="D53" s="335">
        <v>0</v>
      </c>
      <c r="E53" s="408">
        <v>64634.0625</v>
      </c>
      <c r="F53" s="408">
        <v>0</v>
      </c>
      <c r="G53" s="408">
        <v>12583.357499999984</v>
      </c>
      <c r="H53" s="1313">
        <v>77217.419999999984</v>
      </c>
      <c r="I53" s="347"/>
    </row>
    <row r="54" spans="1:9" s="128" customFormat="1">
      <c r="E54" s="365"/>
      <c r="F54" s="365"/>
      <c r="H54" s="385"/>
      <c r="I54" s="347"/>
    </row>
    <row r="55" spans="1:9" s="128" customFormat="1">
      <c r="I55" s="347"/>
    </row>
    <row r="56" spans="1:9" s="128" customFormat="1">
      <c r="A56" s="1319" t="s">
        <v>649</v>
      </c>
      <c r="I56" s="347"/>
    </row>
    <row r="57" spans="1:9" s="128" customFormat="1">
      <c r="A57" s="1307" t="s">
        <v>1311</v>
      </c>
      <c r="I57" s="347"/>
    </row>
    <row r="58" spans="1:9" s="128" customFormat="1">
      <c r="A58" s="1309"/>
      <c r="B58" s="45" t="s">
        <v>619</v>
      </c>
      <c r="C58" s="45" t="s">
        <v>620</v>
      </c>
      <c r="D58" s="45" t="s">
        <v>621</v>
      </c>
      <c r="E58" s="45" t="s">
        <v>622</v>
      </c>
      <c r="F58" s="45" t="s">
        <v>623</v>
      </c>
      <c r="G58" s="45" t="s">
        <v>624</v>
      </c>
      <c r="H58" s="1317" t="s">
        <v>625</v>
      </c>
      <c r="I58" s="347"/>
    </row>
    <row r="59" spans="1:9" s="128" customFormat="1">
      <c r="A59" s="1002" t="s">
        <v>650</v>
      </c>
      <c r="B59" s="125"/>
      <c r="C59" s="125"/>
      <c r="D59" s="125"/>
      <c r="E59" s="125"/>
      <c r="F59" s="125"/>
      <c r="G59" s="125">
        <v>2301229.9153012838</v>
      </c>
      <c r="H59" s="1320">
        <v>2301229.9153012838</v>
      </c>
      <c r="I59" s="347" t="s">
        <v>651</v>
      </c>
    </row>
    <row r="60" spans="1:9" s="128" customFormat="1">
      <c r="A60" s="1002" t="s">
        <v>476</v>
      </c>
      <c r="B60" s="125"/>
      <c r="C60" s="125"/>
      <c r="D60" s="125"/>
      <c r="E60" s="125"/>
      <c r="F60" s="125"/>
      <c r="G60" s="125">
        <v>7485334.8802089635</v>
      </c>
      <c r="H60" s="1320">
        <v>7485334.8802089635</v>
      </c>
      <c r="I60" s="347"/>
    </row>
    <row r="61" spans="1:9" s="128" customFormat="1">
      <c r="A61" s="1002" t="s">
        <v>1115</v>
      </c>
      <c r="B61" s="125">
        <v>161438.49715464</v>
      </c>
      <c r="C61" s="125">
        <v>58239.131648489994</v>
      </c>
      <c r="D61" s="125">
        <v>260507.35440774</v>
      </c>
      <c r="E61" s="125">
        <v>166832.07007545</v>
      </c>
      <c r="F61" s="125">
        <v>28997.366453369996</v>
      </c>
      <c r="G61" s="125"/>
      <c r="H61" s="1320">
        <v>676014.41973969003</v>
      </c>
      <c r="I61" s="347"/>
    </row>
    <row r="62" spans="1:9" s="128" customFormat="1">
      <c r="A62" s="1002" t="s">
        <v>166</v>
      </c>
      <c r="B62" s="125"/>
      <c r="C62" s="125"/>
      <c r="D62" s="125"/>
      <c r="E62" s="125"/>
      <c r="F62" s="125">
        <v>-300000</v>
      </c>
      <c r="G62" s="125"/>
      <c r="H62" s="1320">
        <v>-300000</v>
      </c>
      <c r="I62" s="347"/>
    </row>
    <row r="63" spans="1:9" s="128" customFormat="1">
      <c r="A63" s="1002" t="s">
        <v>1120</v>
      </c>
      <c r="B63" s="125"/>
      <c r="C63" s="125"/>
      <c r="D63" s="125"/>
      <c r="E63" s="125"/>
      <c r="F63" s="125">
        <v>0</v>
      </c>
      <c r="G63" s="125">
        <v>1000000</v>
      </c>
      <c r="H63" s="1320">
        <v>1000000</v>
      </c>
      <c r="I63" s="347"/>
    </row>
    <row r="64" spans="1:9" s="128" customFormat="1">
      <c r="A64" s="1321"/>
      <c r="B64" s="1322">
        <v>161438.49715464</v>
      </c>
      <c r="C64" s="1322">
        <v>58239.131648489994</v>
      </c>
      <c r="D64" s="1322">
        <v>260507.35440774</v>
      </c>
      <c r="E64" s="1322">
        <v>166832.07007545</v>
      </c>
      <c r="F64" s="1322">
        <v>-271002.63354662998</v>
      </c>
      <c r="G64" s="1322">
        <v>10786564.795510247</v>
      </c>
      <c r="H64" s="1322">
        <v>11162579.215249937</v>
      </c>
      <c r="I64" s="347"/>
    </row>
    <row r="65" spans="1:10" s="128" customFormat="1">
      <c r="A65" s="456"/>
      <c r="I65" s="347"/>
    </row>
    <row r="66" spans="1:10" s="128" customFormat="1">
      <c r="I66" s="347"/>
    </row>
    <row r="67" spans="1:10" s="128" customFormat="1">
      <c r="A67" s="1319" t="s">
        <v>653</v>
      </c>
      <c r="I67" s="347"/>
    </row>
    <row r="68" spans="1:10" s="128" customFormat="1">
      <c r="A68" s="1307" t="s">
        <v>274</v>
      </c>
      <c r="I68" s="347"/>
    </row>
    <row r="69" spans="1:10">
      <c r="A69" s="7" t="s">
        <v>654</v>
      </c>
    </row>
    <row r="70" spans="1:10">
      <c r="A70" s="1158" t="s">
        <v>655</v>
      </c>
      <c r="B70" s="29">
        <v>183599223.79702345</v>
      </c>
      <c r="D70" s="71" t="s">
        <v>1186</v>
      </c>
      <c r="E70" s="55">
        <v>16747.704071428572</v>
      </c>
      <c r="F70" s="1158" t="s">
        <v>656</v>
      </c>
    </row>
    <row r="71" spans="1:10">
      <c r="A71" s="71" t="s">
        <v>1111</v>
      </c>
      <c r="B71" s="28">
        <v>11503134.177601814</v>
      </c>
      <c r="D71" s="71" t="s">
        <v>1490</v>
      </c>
      <c r="E71" s="39">
        <v>16106.45542600053</v>
      </c>
      <c r="F71" s="1158" t="s">
        <v>657</v>
      </c>
    </row>
    <row r="72" spans="1:10">
      <c r="A72" s="71" t="s">
        <v>1112</v>
      </c>
      <c r="B72" s="28">
        <v>730071.81678600051</v>
      </c>
      <c r="D72" s="1158" t="s">
        <v>658</v>
      </c>
      <c r="E72" s="39">
        <v>0</v>
      </c>
    </row>
    <row r="73" spans="1:10">
      <c r="A73" s="1158" t="s">
        <v>659</v>
      </c>
      <c r="B73" s="28">
        <v>1408582.297288686</v>
      </c>
      <c r="D73" s="54" t="s">
        <v>478</v>
      </c>
      <c r="E73" s="56"/>
      <c r="F73" s="181"/>
      <c r="I73" s="4" t="s">
        <v>641</v>
      </c>
    </row>
    <row r="74" spans="1:10">
      <c r="A74" s="71" t="s">
        <v>1188</v>
      </c>
      <c r="B74" s="57">
        <v>197241012.08869994</v>
      </c>
      <c r="D74" s="71" t="s">
        <v>344</v>
      </c>
      <c r="E74" s="1828">
        <v>0</v>
      </c>
    </row>
    <row r="75" spans="1:10">
      <c r="A75" s="1158" t="s">
        <v>660</v>
      </c>
      <c r="B75" s="29">
        <v>13641788.291676491</v>
      </c>
    </row>
    <row r="76" spans="1:10">
      <c r="A76" s="71" t="s">
        <v>880</v>
      </c>
      <c r="B76" s="29">
        <v>13641788.291676491</v>
      </c>
      <c r="C76" s="243"/>
    </row>
    <row r="77" spans="1:10">
      <c r="A77" s="1158" t="s">
        <v>661</v>
      </c>
      <c r="C77" s="29"/>
    </row>
    <row r="78" spans="1:10">
      <c r="A78" s="1158" t="s">
        <v>662</v>
      </c>
      <c r="B78" s="29">
        <v>0</v>
      </c>
    </row>
    <row r="79" spans="1:10">
      <c r="A79" s="1158" t="s">
        <v>663</v>
      </c>
      <c r="B79" s="29">
        <v>1858957.8504334707</v>
      </c>
    </row>
    <row r="80" spans="1:10" s="4" customFormat="1">
      <c r="A80" s="1158" t="s">
        <v>664</v>
      </c>
      <c r="B80" s="29">
        <v>0</v>
      </c>
      <c r="C80" s="1158"/>
      <c r="D80" s="1158"/>
      <c r="E80" s="1158"/>
      <c r="F80" s="1158"/>
      <c r="G80" s="1158"/>
      <c r="H80" s="1158"/>
      <c r="J80" s="1158"/>
    </row>
    <row r="81" spans="1:10" s="4" customFormat="1">
      <c r="A81" s="1158" t="s">
        <v>665</v>
      </c>
      <c r="B81" s="29">
        <v>382639.31042456347</v>
      </c>
      <c r="C81" s="1158"/>
      <c r="D81" s="1158"/>
      <c r="E81" s="1158"/>
      <c r="F81" s="1158"/>
      <c r="G81" s="1158"/>
      <c r="H81" s="1158"/>
      <c r="J81" s="1158"/>
    </row>
    <row r="82" spans="1:10" s="4" customFormat="1">
      <c r="A82" s="1158" t="s">
        <v>666</v>
      </c>
      <c r="B82" s="29">
        <v>77217.419999999984</v>
      </c>
      <c r="C82" s="1158"/>
      <c r="D82" s="1158"/>
      <c r="E82" s="1158"/>
      <c r="F82" s="1158"/>
      <c r="G82" s="1158"/>
      <c r="H82" s="1158"/>
      <c r="J82" s="1158"/>
    </row>
    <row r="83" spans="1:10" s="4" customFormat="1">
      <c r="A83" s="1158" t="s">
        <v>667</v>
      </c>
      <c r="B83" s="29">
        <v>11162579.215249937</v>
      </c>
      <c r="C83" s="1158"/>
      <c r="D83" s="1158"/>
      <c r="E83" s="1158"/>
      <c r="F83" s="1158"/>
      <c r="G83" s="1158"/>
      <c r="H83" s="1158"/>
      <c r="J83" s="1158"/>
    </row>
    <row r="84" spans="1:10" s="4" customFormat="1">
      <c r="A84" s="1158"/>
      <c r="B84" s="57">
        <v>13481393.79610797</v>
      </c>
      <c r="C84" s="1158"/>
      <c r="D84" s="1158"/>
      <c r="E84" s="1158"/>
      <c r="F84" s="1158"/>
      <c r="G84" s="1158"/>
      <c r="H84" s="1158"/>
      <c r="J84" s="1158"/>
    </row>
    <row r="85" spans="1:10" s="4" customFormat="1">
      <c r="A85" s="1158" t="s">
        <v>668</v>
      </c>
      <c r="B85" s="29">
        <v>160394.49556852132</v>
      </c>
      <c r="C85" s="482"/>
      <c r="D85" s="1158"/>
      <c r="E85" s="1158"/>
      <c r="F85" s="1158"/>
      <c r="G85" s="1158"/>
      <c r="H85" s="1158"/>
      <c r="J85" s="1158"/>
    </row>
    <row r="86" spans="1:10" s="4" customFormat="1">
      <c r="A86" s="1158"/>
      <c r="B86" s="29"/>
      <c r="C86" s="1158"/>
      <c r="D86" s="1158"/>
      <c r="E86" s="1158"/>
      <c r="F86" s="1158"/>
      <c r="G86" s="1158"/>
      <c r="H86" s="1158"/>
      <c r="J86" s="1158"/>
    </row>
    <row r="87" spans="1:10" s="4" customFormat="1">
      <c r="A87" s="8"/>
      <c r="B87" s="9" t="s">
        <v>619</v>
      </c>
      <c r="C87" s="9" t="s">
        <v>620</v>
      </c>
      <c r="D87" s="9" t="s">
        <v>621</v>
      </c>
      <c r="E87" s="10" t="s">
        <v>622</v>
      </c>
      <c r="F87" s="10" t="s">
        <v>623</v>
      </c>
      <c r="G87" s="10" t="s">
        <v>624</v>
      </c>
      <c r="H87" s="11" t="s">
        <v>625</v>
      </c>
      <c r="J87" s="1158"/>
    </row>
    <row r="88" spans="1:10" s="4" customFormat="1">
      <c r="A88" s="248" t="s">
        <v>1024</v>
      </c>
      <c r="B88" s="58">
        <v>44804888.56068369</v>
      </c>
      <c r="C88" s="58">
        <v>27676350.750409115</v>
      </c>
      <c r="D88" s="58">
        <v>44730328.410442285</v>
      </c>
      <c r="E88" s="58">
        <v>18905539.312678408</v>
      </c>
      <c r="F88" s="58">
        <v>14082329.385537228</v>
      </c>
      <c r="G88" s="59" t="s">
        <v>669</v>
      </c>
      <c r="H88" s="49">
        <v>150199436.41975072</v>
      </c>
      <c r="J88" s="1158"/>
    </row>
    <row r="89" spans="1:10" s="4" customFormat="1">
      <c r="A89" s="60" t="s">
        <v>670</v>
      </c>
      <c r="B89" s="26">
        <v>0.2983026409997368</v>
      </c>
      <c r="C89" s="26">
        <v>0.18426401197048545</v>
      </c>
      <c r="D89" s="26">
        <v>0.29780623334323242</v>
      </c>
      <c r="E89" s="26">
        <v>0.12586957556781081</v>
      </c>
      <c r="F89" s="26">
        <v>9.3757538118734565E-2</v>
      </c>
      <c r="G89" s="26"/>
      <c r="H89" s="851">
        <v>1</v>
      </c>
      <c r="J89" s="1158"/>
    </row>
    <row r="90" spans="1:10" s="4" customFormat="1">
      <c r="A90" s="62" t="s">
        <v>671</v>
      </c>
      <c r="B90" s="31">
        <v>47846.101629910489</v>
      </c>
      <c r="C90" s="31">
        <v>29554.933251437989</v>
      </c>
      <c r="D90" s="31">
        <v>47766.480574249115</v>
      </c>
      <c r="E90" s="31">
        <v>20188.787080622889</v>
      </c>
      <c r="F90" s="31">
        <v>15038.19303230084</v>
      </c>
      <c r="G90" s="31">
        <v>0</v>
      </c>
      <c r="H90" s="32">
        <v>160394.49556852129</v>
      </c>
      <c r="J90" s="1158"/>
    </row>
    <row r="91" spans="1:10" s="4" customFormat="1">
      <c r="A91" s="25"/>
      <c r="B91" s="28"/>
      <c r="C91" s="28"/>
      <c r="D91" s="28"/>
      <c r="E91" s="28"/>
      <c r="F91" s="28"/>
      <c r="G91" s="28"/>
      <c r="H91" s="29"/>
      <c r="J91" s="1158"/>
    </row>
    <row r="93" spans="1:10" s="4" customFormat="1">
      <c r="A93" s="1158" t="s">
        <v>672</v>
      </c>
      <c r="B93" s="1158"/>
      <c r="C93" s="1158"/>
      <c r="D93" s="1158"/>
      <c r="E93" s="1158"/>
      <c r="F93" s="1158"/>
      <c r="G93" s="1158"/>
      <c r="H93" s="1158"/>
      <c r="J93" s="1158"/>
    </row>
    <row r="94" spans="1:10" s="4" customFormat="1">
      <c r="A94" s="7" t="s">
        <v>1189</v>
      </c>
      <c r="B94" s="1158"/>
      <c r="C94" s="1158"/>
      <c r="D94" s="1158"/>
      <c r="E94" s="1158"/>
      <c r="F94" s="1158"/>
      <c r="G94" s="1158"/>
      <c r="H94" s="1158"/>
      <c r="J94" s="1158"/>
    </row>
    <row r="95" spans="1:10" s="4" customFormat="1">
      <c r="A95" s="8"/>
      <c r="B95" s="9" t="s">
        <v>619</v>
      </c>
      <c r="C95" s="9" t="s">
        <v>620</v>
      </c>
      <c r="D95" s="9" t="s">
        <v>621</v>
      </c>
      <c r="E95" s="10" t="s">
        <v>622</v>
      </c>
      <c r="F95" s="10" t="s">
        <v>623</v>
      </c>
      <c r="G95" s="10" t="s">
        <v>624</v>
      </c>
      <c r="H95" s="11" t="s">
        <v>625</v>
      </c>
      <c r="J95" s="1158"/>
    </row>
    <row r="96" spans="1:10" s="4" customFormat="1">
      <c r="A96" s="248" t="s">
        <v>1024</v>
      </c>
      <c r="B96" s="13">
        <v>44804888.56068369</v>
      </c>
      <c r="C96" s="13">
        <v>27676350.750409115</v>
      </c>
      <c r="D96" s="13">
        <v>44730328.410442285</v>
      </c>
      <c r="E96" s="13">
        <v>18905539.312678408</v>
      </c>
      <c r="F96" s="13">
        <v>14082329.385537228</v>
      </c>
      <c r="G96" s="13">
        <v>33399787.377272725</v>
      </c>
      <c r="H96" s="14">
        <v>183599223.79702345</v>
      </c>
      <c r="J96" s="29">
        <v>2855223.4961662441</v>
      </c>
    </row>
    <row r="97" spans="1:10" s="4" customFormat="1">
      <c r="A97" s="18" t="s">
        <v>662</v>
      </c>
      <c r="B97" s="58">
        <v>0</v>
      </c>
      <c r="C97" s="58">
        <v>0</v>
      </c>
      <c r="D97" s="58">
        <v>0</v>
      </c>
      <c r="E97" s="58">
        <v>0</v>
      </c>
      <c r="F97" s="58">
        <v>0</v>
      </c>
      <c r="G97" s="58">
        <v>0</v>
      </c>
      <c r="H97" s="49">
        <v>0</v>
      </c>
      <c r="J97" s="1158"/>
    </row>
    <row r="98" spans="1:10" s="4" customFormat="1">
      <c r="A98" s="18" t="s">
        <v>673</v>
      </c>
      <c r="B98" s="13">
        <v>0</v>
      </c>
      <c r="C98" s="13">
        <v>0</v>
      </c>
      <c r="D98" s="13">
        <v>0</v>
      </c>
      <c r="E98" s="13">
        <v>0</v>
      </c>
      <c r="F98" s="13">
        <v>0</v>
      </c>
      <c r="G98" s="13">
        <v>1858957.8504334707</v>
      </c>
      <c r="H98" s="49">
        <v>1858957.8504334707</v>
      </c>
      <c r="J98" s="1158"/>
    </row>
    <row r="99" spans="1:10" s="4" customFormat="1">
      <c r="A99" s="18" t="s">
        <v>664</v>
      </c>
      <c r="B99" s="13">
        <v>0</v>
      </c>
      <c r="C99" s="13">
        <v>0</v>
      </c>
      <c r="D99" s="13">
        <v>0</v>
      </c>
      <c r="E99" s="13">
        <v>0</v>
      </c>
      <c r="F99" s="13">
        <v>0</v>
      </c>
      <c r="G99" s="13">
        <v>0</v>
      </c>
      <c r="H99" s="49">
        <v>0</v>
      </c>
      <c r="J99" s="1158"/>
    </row>
    <row r="100" spans="1:10" s="4" customFormat="1">
      <c r="A100" s="18" t="s">
        <v>665</v>
      </c>
      <c r="B100" s="58">
        <v>290020.94241904817</v>
      </c>
      <c r="C100" s="58">
        <v>94512.938944681315</v>
      </c>
      <c r="D100" s="58">
        <v>-1894.5709391660057</v>
      </c>
      <c r="E100" s="58">
        <v>0</v>
      </c>
      <c r="F100" s="58">
        <v>0</v>
      </c>
      <c r="G100" s="58">
        <v>0</v>
      </c>
      <c r="H100" s="49">
        <v>382639.31042456347</v>
      </c>
      <c r="J100" s="29"/>
    </row>
    <row r="101" spans="1:10" s="4" customFormat="1">
      <c r="A101" s="18" t="s">
        <v>666</v>
      </c>
      <c r="B101" s="13">
        <v>0</v>
      </c>
      <c r="C101" s="13">
        <v>0</v>
      </c>
      <c r="D101" s="13">
        <v>0</v>
      </c>
      <c r="E101" s="13">
        <v>64634.0625</v>
      </c>
      <c r="F101" s="13">
        <v>0</v>
      </c>
      <c r="G101" s="13">
        <v>12583.357499999984</v>
      </c>
      <c r="H101" s="49">
        <v>77217.419999999984</v>
      </c>
      <c r="J101" s="1158"/>
    </row>
    <row r="102" spans="1:10" s="4" customFormat="1">
      <c r="A102" s="18" t="s">
        <v>667</v>
      </c>
      <c r="B102" s="13">
        <v>161438.49715464</v>
      </c>
      <c r="C102" s="13">
        <v>58239.131648489994</v>
      </c>
      <c r="D102" s="13">
        <v>260507.35440774</v>
      </c>
      <c r="E102" s="13">
        <v>166832.07007545</v>
      </c>
      <c r="F102" s="13">
        <v>-271002.63354662998</v>
      </c>
      <c r="G102" s="13">
        <v>10786564.795510247</v>
      </c>
      <c r="H102" s="49">
        <v>11162579.215249937</v>
      </c>
      <c r="J102" s="1158"/>
    </row>
    <row r="103" spans="1:10" s="4" customFormat="1">
      <c r="A103" s="18" t="s">
        <v>674</v>
      </c>
      <c r="B103" s="63">
        <v>47846.101629910489</v>
      </c>
      <c r="C103" s="63">
        <v>29554.933251437989</v>
      </c>
      <c r="D103" s="63">
        <v>47766.480574249115</v>
      </c>
      <c r="E103" s="63">
        <v>20188.787080622889</v>
      </c>
      <c r="F103" s="63">
        <v>15038.19303230084</v>
      </c>
      <c r="G103" s="63">
        <v>0</v>
      </c>
      <c r="H103" s="32">
        <v>160394.49556852129</v>
      </c>
      <c r="J103" s="1158"/>
    </row>
    <row r="104" spans="1:10" s="4" customFormat="1">
      <c r="A104" s="18" t="s">
        <v>675</v>
      </c>
      <c r="B104" s="63">
        <v>499305.54120359867</v>
      </c>
      <c r="C104" s="63">
        <v>182307.00384460931</v>
      </c>
      <c r="D104" s="63">
        <v>306379.26404282311</v>
      </c>
      <c r="E104" s="63">
        <v>251654.91965607289</v>
      </c>
      <c r="F104" s="63">
        <v>-255964.44051432915</v>
      </c>
      <c r="G104" s="63">
        <v>12658106.003443718</v>
      </c>
      <c r="H104" s="32">
        <v>13641788.291676491</v>
      </c>
      <c r="J104" s="1158"/>
    </row>
    <row r="105" spans="1:10" s="4" customFormat="1">
      <c r="A105" s="8"/>
      <c r="B105" s="9" t="s">
        <v>619</v>
      </c>
      <c r="C105" s="9" t="s">
        <v>620</v>
      </c>
      <c r="D105" s="9" t="s">
        <v>621</v>
      </c>
      <c r="E105" s="10" t="s">
        <v>622</v>
      </c>
      <c r="F105" s="10" t="s">
        <v>623</v>
      </c>
      <c r="G105" s="10" t="s">
        <v>624</v>
      </c>
      <c r="H105" s="11" t="s">
        <v>625</v>
      </c>
      <c r="J105" s="1158"/>
    </row>
    <row r="106" spans="1:10" s="1613" customFormat="1">
      <c r="A106" s="1572" t="s">
        <v>1190</v>
      </c>
      <c r="B106" s="1614">
        <v>45304194.101887286</v>
      </c>
      <c r="C106" s="1614">
        <v>27858657.754253723</v>
      </c>
      <c r="D106" s="1614">
        <v>45036707.67448511</v>
      </c>
      <c r="E106" s="1614">
        <v>19157194.23233448</v>
      </c>
      <c r="F106" s="1614">
        <v>13826364.945022898</v>
      </c>
      <c r="G106" s="1614">
        <v>46057892.880716443</v>
      </c>
      <c r="H106" s="1615">
        <v>197241012.08869994</v>
      </c>
      <c r="J106" s="1563"/>
    </row>
    <row r="107" spans="1:10" s="4" customFormat="1">
      <c r="A107" s="1158"/>
      <c r="B107" s="1158"/>
      <c r="C107" s="1158"/>
      <c r="D107" s="1158"/>
      <c r="E107" s="1158"/>
      <c r="F107" s="1158"/>
      <c r="G107" s="1158"/>
      <c r="H107" s="29"/>
      <c r="J107" s="1158"/>
    </row>
    <row r="108" spans="1:10" s="4" customFormat="1">
      <c r="A108" s="314" t="s">
        <v>957</v>
      </c>
      <c r="B108" s="28">
        <v>427733.49845638592</v>
      </c>
      <c r="C108" s="28">
        <v>264214.52460360434</v>
      </c>
      <c r="D108" s="28">
        <v>427021.70394170936</v>
      </c>
      <c r="E108" s="28">
        <v>180483.26265702644</v>
      </c>
      <c r="F108" s="28">
        <v>134438.09834127376</v>
      </c>
      <c r="G108" s="1158"/>
      <c r="H108" s="29">
        <v>1433891.088</v>
      </c>
      <c r="J108" s="1158"/>
    </row>
    <row r="109" spans="1:10" s="4" customFormat="1">
      <c r="A109" s="1158"/>
      <c r="B109" s="1158"/>
      <c r="C109" s="1158"/>
      <c r="D109" s="1158"/>
      <c r="E109" s="1158"/>
      <c r="F109" s="1158"/>
      <c r="G109" s="1158"/>
      <c r="H109" s="29"/>
      <c r="J109" s="1158"/>
    </row>
    <row r="110" spans="1:10" s="1613" customFormat="1">
      <c r="A110" s="1612" t="s">
        <v>958</v>
      </c>
      <c r="B110" s="1561">
        <v>45731927.600343674</v>
      </c>
      <c r="C110" s="1561">
        <v>28122872.278857328</v>
      </c>
      <c r="D110" s="1561">
        <v>45463729.37842682</v>
      </c>
      <c r="E110" s="1561">
        <v>19337677.494991507</v>
      </c>
      <c r="F110" s="1561">
        <v>13960803.043364171</v>
      </c>
      <c r="G110" s="1561">
        <v>46057892.880716443</v>
      </c>
      <c r="H110" s="1561">
        <v>198674903.17669994</v>
      </c>
      <c r="J110" s="1563"/>
    </row>
    <row r="111" spans="1:10">
      <c r="A111" s="314"/>
      <c r="B111" s="13"/>
      <c r="C111" s="13"/>
      <c r="D111" s="13"/>
      <c r="E111" s="13"/>
      <c r="F111" s="13"/>
      <c r="G111" s="13"/>
      <c r="H111" s="13"/>
    </row>
    <row r="112" spans="1:10">
      <c r="A112" s="314"/>
      <c r="B112" s="13"/>
      <c r="C112" s="13"/>
      <c r="D112" s="13"/>
      <c r="E112" s="13"/>
      <c r="F112" s="13"/>
      <c r="G112" s="13"/>
      <c r="H112" s="13"/>
    </row>
    <row r="113" spans="1:8">
      <c r="A113" s="314"/>
      <c r="B113" s="65"/>
      <c r="C113" s="13"/>
      <c r="F113" s="20"/>
      <c r="G113" s="20"/>
      <c r="H113" s="29"/>
    </row>
    <row r="114" spans="1:8">
      <c r="F114" s="20"/>
      <c r="G114" s="58"/>
      <c r="H114" s="29"/>
    </row>
    <row r="115" spans="1:8">
      <c r="A115" s="66" t="s">
        <v>677</v>
      </c>
      <c r="C115" s="67">
        <v>1587688</v>
      </c>
      <c r="F115" s="20"/>
      <c r="G115" s="58"/>
    </row>
    <row r="116" spans="1:8">
      <c r="A116" s="1158" t="s">
        <v>679</v>
      </c>
      <c r="C116" s="68">
        <v>4.4348541355534676</v>
      </c>
      <c r="F116" s="20"/>
      <c r="G116" s="58"/>
    </row>
    <row r="117" spans="1:8">
      <c r="A117" s="1158" t="s">
        <v>680</v>
      </c>
      <c r="C117" s="69">
        <v>6.007226786264503E-2</v>
      </c>
      <c r="H117" s="29"/>
    </row>
    <row r="118" spans="1:8">
      <c r="A118" s="1158" t="s">
        <v>681</v>
      </c>
      <c r="C118" s="69">
        <v>0.16129414255078617</v>
      </c>
    </row>
  </sheetData>
  <pageMargins left="0.75" right="0.75" top="1" bottom="1" header="0.5" footer="0.5"/>
  <pageSetup orientation="landscape" r:id="rId1"/>
  <headerFooter alignWithMargins="0">
    <oddHeader>&amp;CPrelim Budget 14/15</oddHeader>
  </headerFooter>
  <rowBreaks count="3" manualBreakCount="3">
    <brk id="29" max="8" man="1"/>
    <brk id="66" max="8" man="1"/>
    <brk id="92" max="8"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P123"/>
  <sheetViews>
    <sheetView tabSelected="1" topLeftCell="A88" zoomScale="140" zoomScaleNormal="140" zoomScalePageLayoutView="140" workbookViewId="0">
      <selection activeCell="H119" sqref="H119"/>
    </sheetView>
  </sheetViews>
  <sheetFormatPr defaultColWidth="9.28515625" defaultRowHeight="12.75"/>
  <cols>
    <col min="1" max="1" width="19.42578125" style="1003" customWidth="1"/>
    <col min="2" max="3" width="13.42578125" style="1003" customWidth="1"/>
    <col min="4" max="4" width="16.140625" style="1003" customWidth="1"/>
    <col min="5" max="5" width="13.42578125" style="1003" customWidth="1"/>
    <col min="6" max="6" width="13.42578125" style="1003" bestFit="1" customWidth="1"/>
    <col min="7" max="8" width="15" style="1003" bestFit="1" customWidth="1"/>
    <col min="9" max="9" width="7" style="4" bestFit="1" customWidth="1"/>
    <col min="10" max="10" width="22.42578125" style="1003" bestFit="1" customWidth="1"/>
    <col min="11" max="16384" width="9.28515625" style="1003"/>
  </cols>
  <sheetData>
    <row r="1" spans="1:10">
      <c r="A1" s="1" t="s">
        <v>1185</v>
      </c>
      <c r="H1" s="3" t="s">
        <v>615</v>
      </c>
    </row>
    <row r="2" spans="1:10">
      <c r="A2" s="5"/>
    </row>
    <row r="3" spans="1:10">
      <c r="A3" s="1"/>
    </row>
    <row r="4" spans="1:10">
      <c r="A4" s="6" t="s">
        <v>616</v>
      </c>
    </row>
    <row r="5" spans="1:10">
      <c r="A5" s="6" t="s">
        <v>617</v>
      </c>
    </row>
    <row r="6" spans="1:10">
      <c r="F6" s="29"/>
    </row>
    <row r="7" spans="1:10">
      <c r="A7" s="7" t="s">
        <v>618</v>
      </c>
    </row>
    <row r="8" spans="1:10">
      <c r="A8" s="8"/>
      <c r="B8" s="9" t="s">
        <v>619</v>
      </c>
      <c r="C8" s="9" t="s">
        <v>620</v>
      </c>
      <c r="D8" s="9" t="s">
        <v>621</v>
      </c>
      <c r="E8" s="10" t="s">
        <v>622</v>
      </c>
      <c r="F8" s="10" t="s">
        <v>623</v>
      </c>
      <c r="G8" s="10" t="s">
        <v>624</v>
      </c>
      <c r="H8" s="11" t="s">
        <v>625</v>
      </c>
    </row>
    <row r="9" spans="1:10">
      <c r="A9" s="248" t="s">
        <v>1024</v>
      </c>
      <c r="B9" s="13">
        <v>41772341.297654092</v>
      </c>
      <c r="C9" s="13">
        <v>24939769.539530579</v>
      </c>
      <c r="D9" s="13">
        <v>41158138.236597747</v>
      </c>
      <c r="E9" s="13">
        <v>16981938.891987078</v>
      </c>
      <c r="F9" s="13">
        <v>12973897.942404546</v>
      </c>
      <c r="G9" s="13">
        <v>37877912.321210422</v>
      </c>
      <c r="H9" s="14">
        <v>175703998.72938445</v>
      </c>
      <c r="I9" s="4" t="s">
        <v>626</v>
      </c>
      <c r="J9" s="1527" t="s">
        <v>1653</v>
      </c>
    </row>
    <row r="10" spans="1:10">
      <c r="A10" s="20"/>
      <c r="B10" s="65">
        <v>0.38724617451362453</v>
      </c>
      <c r="C10" s="65">
        <v>0.23120155699716582</v>
      </c>
      <c r="D10" s="65">
        <v>0.38155226848920964</v>
      </c>
      <c r="E10" s="20"/>
      <c r="F10" s="20"/>
      <c r="G10" s="20"/>
      <c r="H10" s="20"/>
    </row>
    <row r="11" spans="1:10">
      <c r="A11" s="255" t="s">
        <v>1022</v>
      </c>
      <c r="B11" s="15">
        <v>7346</v>
      </c>
      <c r="C11" s="15">
        <v>3852</v>
      </c>
      <c r="D11" s="15">
        <v>6945</v>
      </c>
      <c r="E11" s="16"/>
      <c r="F11" s="16"/>
      <c r="G11" s="16"/>
      <c r="H11" s="1005"/>
    </row>
    <row r="12" spans="1:10">
      <c r="A12" s="248" t="s">
        <v>1006</v>
      </c>
      <c r="B12" s="19">
        <v>7294.4735188305349</v>
      </c>
      <c r="C12" s="19">
        <v>3958.92</v>
      </c>
      <c r="D12" s="19">
        <v>6890.6134526693495</v>
      </c>
      <c r="E12" s="20"/>
      <c r="F12" s="20"/>
      <c r="G12" s="20"/>
      <c r="H12" s="21">
        <v>18144.006971499883</v>
      </c>
    </row>
    <row r="13" spans="1:10">
      <c r="A13" s="248" t="s">
        <v>934</v>
      </c>
      <c r="B13" s="19">
        <v>7658.2554667969489</v>
      </c>
      <c r="C13" s="19">
        <v>4056.4399999999996</v>
      </c>
      <c r="D13" s="19">
        <v>6910.6983661673603</v>
      </c>
      <c r="E13" s="20"/>
      <c r="F13" s="20"/>
      <c r="G13" s="20"/>
      <c r="H13" s="21">
        <v>18625.393832964306</v>
      </c>
    </row>
    <row r="14" spans="1:10">
      <c r="A14" s="248" t="s">
        <v>826</v>
      </c>
      <c r="B14" s="19">
        <v>7939</v>
      </c>
      <c r="C14" s="19">
        <v>4097</v>
      </c>
      <c r="D14" s="19">
        <v>6906</v>
      </c>
      <c r="E14" s="20"/>
      <c r="F14" s="20"/>
      <c r="G14" s="20"/>
      <c r="H14" s="21">
        <v>18942</v>
      </c>
    </row>
    <row r="15" spans="1:10">
      <c r="A15" s="248" t="s">
        <v>23</v>
      </c>
      <c r="B15" s="19">
        <v>7857.19</v>
      </c>
      <c r="C15" s="19">
        <v>4205.38</v>
      </c>
      <c r="D15" s="19">
        <v>7104.5809523809521</v>
      </c>
      <c r="E15" s="20"/>
      <c r="F15" s="20"/>
      <c r="G15" s="20"/>
      <c r="H15" s="21">
        <v>19167.150952380951</v>
      </c>
    </row>
    <row r="16" spans="1:10">
      <c r="A16" s="254" t="s">
        <v>888</v>
      </c>
      <c r="B16" s="22">
        <v>7618.9837971254965</v>
      </c>
      <c r="C16" s="22">
        <v>4033.9480000000003</v>
      </c>
      <c r="D16" s="22">
        <v>6951.3785542435317</v>
      </c>
      <c r="E16" s="23"/>
      <c r="F16" s="23"/>
      <c r="G16" s="23"/>
      <c r="H16" s="24">
        <v>18604.310351369029</v>
      </c>
      <c r="I16" s="4" t="s">
        <v>630</v>
      </c>
    </row>
    <row r="17" spans="1:10">
      <c r="A17" s="25" t="s">
        <v>631</v>
      </c>
      <c r="B17" s="65">
        <v>0.40952788107863619</v>
      </c>
      <c r="C17" s="65">
        <v>0.21682867700081962</v>
      </c>
      <c r="D17" s="65">
        <v>0.37364344192054411</v>
      </c>
      <c r="E17" s="20"/>
      <c r="F17" s="20"/>
      <c r="G17" s="20"/>
      <c r="H17" s="19"/>
    </row>
    <row r="18" spans="1:10">
      <c r="A18" s="25"/>
      <c r="B18" s="26"/>
      <c r="C18" s="26"/>
      <c r="D18" s="26"/>
      <c r="E18" s="20"/>
      <c r="F18" s="20"/>
      <c r="G18" s="20"/>
      <c r="H18" s="19"/>
    </row>
    <row r="19" spans="1:10" s="4" customFormat="1">
      <c r="A19" s="25"/>
      <c r="B19" s="1003"/>
      <c r="C19" s="1003"/>
      <c r="D19" s="1003"/>
      <c r="E19" s="1003"/>
      <c r="F19" s="1003"/>
      <c r="G19" s="1003"/>
      <c r="H19" s="1003"/>
      <c r="J19" s="1003"/>
    </row>
    <row r="20" spans="1:10" s="4" customFormat="1">
      <c r="A20" s="30" t="s">
        <v>1109</v>
      </c>
      <c r="B20" s="1003"/>
      <c r="C20" s="1003"/>
      <c r="D20" s="1003"/>
      <c r="E20" s="1003"/>
      <c r="F20" s="1003"/>
      <c r="G20" s="1003"/>
      <c r="H20" s="1003"/>
      <c r="J20" s="1003"/>
    </row>
    <row r="21" spans="1:10" s="4" customFormat="1">
      <c r="A21" s="25" t="s">
        <v>638</v>
      </c>
      <c r="B21" s="29"/>
      <c r="C21" s="29"/>
      <c r="D21" s="29"/>
      <c r="E21" s="1003"/>
      <c r="F21" s="1003"/>
      <c r="G21" s="1003"/>
      <c r="H21" s="28">
        <v>0</v>
      </c>
      <c r="J21" s="1003"/>
    </row>
    <row r="22" spans="1:10" s="4" customFormat="1">
      <c r="A22" s="25"/>
      <c r="B22" s="29"/>
      <c r="C22" s="29"/>
      <c r="D22" s="29"/>
      <c r="E22" s="1003"/>
      <c r="F22" s="1003"/>
      <c r="G22" s="1003"/>
      <c r="H22" s="28"/>
      <c r="J22" s="1003"/>
    </row>
    <row r="24" spans="1:10" s="4" customFormat="1">
      <c r="A24" s="6" t="s">
        <v>639</v>
      </c>
      <c r="B24" s="1003"/>
      <c r="C24" s="1003"/>
      <c r="D24" s="1003"/>
      <c r="E24" s="1003"/>
      <c r="F24" s="1003"/>
      <c r="G24" s="1003"/>
      <c r="H24" s="1003"/>
      <c r="J24" s="1003"/>
    </row>
    <row r="25" spans="1:10" s="4" customFormat="1">
      <c r="A25" s="7" t="s">
        <v>1487</v>
      </c>
      <c r="B25" s="1003"/>
      <c r="C25" s="1003"/>
      <c r="D25" s="1003"/>
      <c r="E25" s="1003"/>
      <c r="F25" s="1003"/>
      <c r="G25" s="1003"/>
      <c r="H25" s="1003"/>
      <c r="J25" s="1003"/>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v>-4158054.5523580061</v>
      </c>
      <c r="H27" s="32">
        <v>-4158054.5523580061</v>
      </c>
      <c r="I27" s="4" t="s">
        <v>641</v>
      </c>
    </row>
    <row r="28" spans="1:10">
      <c r="A28" s="16"/>
      <c r="G28" s="28"/>
      <c r="H28" s="29"/>
    </row>
    <row r="29" spans="1:10">
      <c r="A29" s="20"/>
      <c r="G29" s="29"/>
    </row>
    <row r="30" spans="1:10">
      <c r="A30" s="1529" t="s">
        <v>1883</v>
      </c>
      <c r="B30" s="424">
        <v>4.0857832087930834</v>
      </c>
      <c r="C30" s="1529" t="s">
        <v>1882</v>
      </c>
      <c r="E30" s="1236"/>
      <c r="F30" s="128"/>
      <c r="H30" s="1527" t="s">
        <v>1654</v>
      </c>
    </row>
    <row r="31" spans="1:10">
      <c r="A31" s="33" t="s">
        <v>1488</v>
      </c>
    </row>
    <row r="32" spans="1:10">
      <c r="A32" s="8"/>
      <c r="B32" s="9" t="s">
        <v>619</v>
      </c>
      <c r="C32" s="9" t="s">
        <v>620</v>
      </c>
      <c r="D32" s="9" t="s">
        <v>621</v>
      </c>
      <c r="E32" s="10" t="s">
        <v>622</v>
      </c>
      <c r="F32" s="10" t="s">
        <v>623</v>
      </c>
      <c r="G32" s="10" t="s">
        <v>624</v>
      </c>
      <c r="H32" s="11" t="s">
        <v>625</v>
      </c>
    </row>
    <row r="33" spans="1:10">
      <c r="A33" s="12"/>
      <c r="B33" s="22"/>
      <c r="C33" s="22"/>
      <c r="D33" s="22"/>
      <c r="E33" s="23"/>
      <c r="F33" s="335">
        <v>183517.03860615013</v>
      </c>
      <c r="G33" s="23"/>
      <c r="H33" s="32">
        <v>183517.03860615013</v>
      </c>
      <c r="J33" s="71"/>
    </row>
    <row r="34" spans="1:10">
      <c r="A34" s="20"/>
      <c r="B34" s="19"/>
      <c r="C34" s="19"/>
      <c r="D34" s="19"/>
      <c r="F34" s="28"/>
      <c r="H34" s="29"/>
    </row>
    <row r="35" spans="1:10">
      <c r="A35" s="20"/>
      <c r="B35" s="19"/>
      <c r="C35" s="19"/>
      <c r="D35" s="19"/>
    </row>
    <row r="36" spans="1:10">
      <c r="A36" s="6" t="s">
        <v>642</v>
      </c>
    </row>
    <row r="37" spans="1:10">
      <c r="A37" s="7" t="s">
        <v>1187</v>
      </c>
      <c r="D37" s="7"/>
      <c r="J37" s="34"/>
    </row>
    <row r="38" spans="1:10">
      <c r="A38" s="8"/>
      <c r="B38" s="9" t="s">
        <v>619</v>
      </c>
      <c r="C38" s="9" t="s">
        <v>620</v>
      </c>
      <c r="D38" s="9" t="s">
        <v>621</v>
      </c>
      <c r="E38" s="10" t="s">
        <v>622</v>
      </c>
      <c r="F38" s="10" t="s">
        <v>623</v>
      </c>
      <c r="G38" s="10" t="s">
        <v>624</v>
      </c>
      <c r="H38" s="11" t="s">
        <v>625</v>
      </c>
    </row>
    <row r="39" spans="1:10" s="128" customFormat="1">
      <c r="A39" s="321" t="s">
        <v>1186</v>
      </c>
      <c r="B39" s="129">
        <v>6806.6511904761901</v>
      </c>
      <c r="C39" s="129">
        <v>3508.5075000000002</v>
      </c>
      <c r="D39" s="129">
        <v>6432.5453809523806</v>
      </c>
      <c r="E39" s="25"/>
      <c r="F39" s="25"/>
      <c r="G39" s="129"/>
      <c r="H39" s="1323">
        <v>16747.704071428569</v>
      </c>
      <c r="I39" s="347"/>
    </row>
    <row r="40" spans="1:10" s="128" customFormat="1">
      <c r="A40" s="321" t="s">
        <v>889</v>
      </c>
      <c r="B40" s="398">
        <v>7408.8760352207346</v>
      </c>
      <c r="C40" s="398">
        <v>3894.5735</v>
      </c>
      <c r="D40" s="398">
        <v>6816.9714399578179</v>
      </c>
      <c r="E40" s="25"/>
      <c r="F40" s="25"/>
      <c r="G40" s="25">
        <v>0</v>
      </c>
      <c r="H40" s="1323">
        <v>18120.420975178553</v>
      </c>
      <c r="I40" s="347"/>
    </row>
    <row r="41" spans="1:10" s="128" customFormat="1">
      <c r="A41" s="1312" t="s">
        <v>890</v>
      </c>
      <c r="B41" s="403">
        <v>-210.1077619047619</v>
      </c>
      <c r="C41" s="403">
        <v>-139.37450000000035</v>
      </c>
      <c r="D41" s="403">
        <v>-134.40711428571376</v>
      </c>
      <c r="E41" s="402"/>
      <c r="F41" s="402"/>
      <c r="G41" s="402">
        <v>0</v>
      </c>
      <c r="H41" s="1324">
        <v>-483.88937619047601</v>
      </c>
      <c r="I41" s="347"/>
      <c r="J41" s="1325"/>
    </row>
    <row r="42" spans="1:10" s="128" customFormat="1">
      <c r="A42" s="1307" t="s">
        <v>1105</v>
      </c>
      <c r="I42" s="347"/>
    </row>
    <row r="43" spans="1:10" s="128" customFormat="1">
      <c r="A43" s="1307"/>
      <c r="H43" s="1308">
        <v>3897</v>
      </c>
      <c r="I43" s="347"/>
    </row>
    <row r="44" spans="1:10" s="128" customFormat="1">
      <c r="A44" s="1309" t="s">
        <v>646</v>
      </c>
      <c r="B44" s="404"/>
      <c r="C44" s="404"/>
      <c r="D44" s="404"/>
      <c r="E44" s="1310"/>
      <c r="F44" s="1310"/>
      <c r="G44" s="404">
        <v>0</v>
      </c>
      <c r="H44" s="1311">
        <v>0</v>
      </c>
      <c r="I44" s="347"/>
      <c r="J44" s="128">
        <v>3919.7556116204159</v>
      </c>
    </row>
    <row r="45" spans="1:10" s="128" customFormat="1">
      <c r="A45" s="1312" t="s">
        <v>914</v>
      </c>
      <c r="B45" s="335">
        <v>-239676.63840398984</v>
      </c>
      <c r="C45" s="335">
        <v>-74420.112718204386</v>
      </c>
      <c r="D45" s="335">
        <v>-591288.44887780538</v>
      </c>
      <c r="E45" s="402"/>
      <c r="F45" s="402"/>
      <c r="G45" s="335"/>
      <c r="H45" s="1313">
        <v>-905385.1999999996</v>
      </c>
      <c r="I45" s="347"/>
    </row>
    <row r="46" spans="1:10" s="128" customFormat="1">
      <c r="A46" s="1312" t="s">
        <v>625</v>
      </c>
      <c r="B46" s="335">
        <v>-239676.63840398984</v>
      </c>
      <c r="C46" s="335">
        <v>-74420.112718204386</v>
      </c>
      <c r="D46" s="335">
        <v>-591288.44887780538</v>
      </c>
      <c r="E46" s="402"/>
      <c r="F46" s="402"/>
      <c r="G46" s="402"/>
      <c r="H46" s="1313">
        <v>-905385.1999999996</v>
      </c>
      <c r="I46" s="347" t="s">
        <v>647</v>
      </c>
    </row>
    <row r="47" spans="1:10" s="128" customFormat="1">
      <c r="I47" s="347"/>
    </row>
    <row r="48" spans="1:10" s="128" customFormat="1">
      <c r="A48" s="1314" t="s">
        <v>891</v>
      </c>
      <c r="H48" s="1315"/>
      <c r="I48" s="347"/>
    </row>
    <row r="49" spans="1:16" s="128" customFormat="1">
      <c r="A49" s="1316" t="s">
        <v>1007</v>
      </c>
      <c r="I49" s="347"/>
    </row>
    <row r="50" spans="1:16" s="128" customFormat="1">
      <c r="A50" s="1309"/>
      <c r="B50" s="45" t="s">
        <v>619</v>
      </c>
      <c r="C50" s="45" t="s">
        <v>620</v>
      </c>
      <c r="D50" s="45" t="s">
        <v>621</v>
      </c>
      <c r="E50" s="45" t="s">
        <v>622</v>
      </c>
      <c r="F50" s="45" t="s">
        <v>623</v>
      </c>
      <c r="G50" s="45" t="s">
        <v>624</v>
      </c>
      <c r="H50" s="1317" t="s">
        <v>625</v>
      </c>
      <c r="I50" s="347"/>
    </row>
    <row r="51" spans="1:16" s="128" customFormat="1">
      <c r="A51" s="60" t="s">
        <v>646</v>
      </c>
      <c r="B51" s="25"/>
      <c r="C51" s="25"/>
      <c r="D51" s="25"/>
      <c r="E51" s="125">
        <v>0</v>
      </c>
      <c r="F51" s="125">
        <v>0</v>
      </c>
      <c r="G51" s="25"/>
      <c r="H51" s="1318">
        <v>0</v>
      </c>
      <c r="I51" s="347" t="s">
        <v>648</v>
      </c>
    </row>
    <row r="52" spans="1:16" s="128" customFormat="1">
      <c r="A52" s="1312" t="s">
        <v>914</v>
      </c>
      <c r="B52" s="402"/>
      <c r="C52" s="402"/>
      <c r="D52" s="402"/>
      <c r="E52" s="335">
        <v>61556.25</v>
      </c>
      <c r="F52" s="335"/>
      <c r="G52" s="335">
        <v>-66275.049999999814</v>
      </c>
      <c r="H52" s="1313">
        <v>-4718.7999999998137</v>
      </c>
      <c r="I52" s="347"/>
    </row>
    <row r="53" spans="1:16" s="128" customFormat="1">
      <c r="A53" s="1312" t="s">
        <v>625</v>
      </c>
      <c r="B53" s="335">
        <v>0</v>
      </c>
      <c r="C53" s="335">
        <v>0</v>
      </c>
      <c r="D53" s="335">
        <v>0</v>
      </c>
      <c r="E53" s="408">
        <v>61556.25</v>
      </c>
      <c r="F53" s="408">
        <v>0</v>
      </c>
      <c r="G53" s="408">
        <v>-66275.049999999814</v>
      </c>
      <c r="H53" s="1313">
        <v>-4718.7999999998137</v>
      </c>
      <c r="I53" s="347"/>
    </row>
    <row r="54" spans="1:16" s="128" customFormat="1">
      <c r="E54" s="365"/>
      <c r="F54" s="365"/>
      <c r="G54" s="1236" t="s">
        <v>1650</v>
      </c>
      <c r="H54" s="385"/>
      <c r="I54" s="347"/>
    </row>
    <row r="55" spans="1:16" s="128" customFormat="1">
      <c r="I55" s="347"/>
    </row>
    <row r="56" spans="1:16" s="128" customFormat="1">
      <c r="A56" s="1319" t="s">
        <v>649</v>
      </c>
      <c r="I56" s="347"/>
    </row>
    <row r="57" spans="1:16" s="128" customFormat="1">
      <c r="A57" s="1307" t="s">
        <v>1311</v>
      </c>
      <c r="I57" s="347"/>
    </row>
    <row r="58" spans="1:16" s="128" customFormat="1">
      <c r="A58" s="1309"/>
      <c r="B58" s="45" t="s">
        <v>619</v>
      </c>
      <c r="C58" s="45" t="s">
        <v>620</v>
      </c>
      <c r="D58" s="45" t="s">
        <v>621</v>
      </c>
      <c r="E58" s="45" t="s">
        <v>622</v>
      </c>
      <c r="F58" s="45" t="s">
        <v>623</v>
      </c>
      <c r="G58" s="45" t="s">
        <v>624</v>
      </c>
      <c r="H58" s="1317" t="s">
        <v>625</v>
      </c>
      <c r="I58" s="347"/>
    </row>
    <row r="59" spans="1:16" s="1736" customFormat="1">
      <c r="A59" s="1733" t="s">
        <v>1938</v>
      </c>
      <c r="B59" s="1734">
        <v>2712410.9781999998</v>
      </c>
      <c r="C59" s="1734">
        <v>2151048.1456804997</v>
      </c>
      <c r="D59" s="1734">
        <v>3078096.3210800001</v>
      </c>
      <c r="E59" s="1734">
        <v>1210024.3005239998</v>
      </c>
      <c r="F59" s="1734">
        <v>412908.21688000002</v>
      </c>
      <c r="G59" s="1734">
        <v>9684</v>
      </c>
      <c r="H59" s="1732">
        <v>9574171.9623644985</v>
      </c>
      <c r="I59" s="1735" t="s">
        <v>651</v>
      </c>
      <c r="J59" s="2025" t="s">
        <v>1913</v>
      </c>
    </row>
    <row r="60" spans="1:16" s="1742" customFormat="1">
      <c r="A60" s="1737"/>
      <c r="B60" s="1738">
        <v>0</v>
      </c>
      <c r="C60" s="1738">
        <v>0</v>
      </c>
      <c r="D60" s="1738">
        <v>0</v>
      </c>
      <c r="E60" s="1738"/>
      <c r="F60" s="1738"/>
      <c r="G60" s="1743">
        <v>-878478.84157968871</v>
      </c>
      <c r="H60" s="1739">
        <v>-878478.84157968871</v>
      </c>
      <c r="I60" s="1740"/>
      <c r="J60" s="1741" t="s">
        <v>1735</v>
      </c>
      <c r="K60" s="860" t="s">
        <v>1737</v>
      </c>
      <c r="L60" s="860" t="s">
        <v>1736</v>
      </c>
      <c r="M60" s="860"/>
      <c r="N60" s="860"/>
      <c r="O60" s="860"/>
      <c r="P60" s="860"/>
    </row>
    <row r="61" spans="1:16" s="128" customFormat="1">
      <c r="A61" s="1002" t="s">
        <v>1115</v>
      </c>
      <c r="B61" s="125">
        <v>155979.224304</v>
      </c>
      <c r="C61" s="125">
        <v>56269.692413999997</v>
      </c>
      <c r="D61" s="125">
        <v>251697.92696400001</v>
      </c>
      <c r="E61" s="125">
        <v>161190.40587000002</v>
      </c>
      <c r="F61" s="125">
        <v>28016.779181999998</v>
      </c>
      <c r="G61" s="125"/>
      <c r="H61" s="1320">
        <v>653154.02873400005</v>
      </c>
      <c r="I61" s="347"/>
      <c r="J61" s="1236" t="s">
        <v>1657</v>
      </c>
      <c r="L61" s="860"/>
      <c r="M61" s="860"/>
      <c r="N61" s="860"/>
      <c r="O61" s="860"/>
      <c r="P61" s="860"/>
    </row>
    <row r="62" spans="1:16" s="128" customFormat="1">
      <c r="A62" s="1002" t="s">
        <v>166</v>
      </c>
      <c r="B62" s="821">
        <v>-461292.00608408306</v>
      </c>
      <c r="C62" s="1731">
        <v>-13571.325799029028</v>
      </c>
      <c r="D62" s="1731">
        <v>-22396.778863773561</v>
      </c>
      <c r="E62" s="1731">
        <v>-9240.9605083582719</v>
      </c>
      <c r="F62" s="1731">
        <v>292940.07125524391</v>
      </c>
      <c r="G62" s="1899">
        <v>75000</v>
      </c>
      <c r="H62" s="1320">
        <v>-138561</v>
      </c>
      <c r="I62" s="347"/>
      <c r="J62" s="1236" t="s">
        <v>1733</v>
      </c>
    </row>
    <row r="63" spans="1:16" s="128" customFormat="1">
      <c r="A63" s="1002" t="s">
        <v>1120</v>
      </c>
      <c r="B63" s="125">
        <v>250000</v>
      </c>
      <c r="C63" s="125">
        <v>250000</v>
      </c>
      <c r="D63" s="125">
        <v>250000</v>
      </c>
      <c r="E63" s="125">
        <v>250000</v>
      </c>
      <c r="F63" s="125">
        <v>0</v>
      </c>
      <c r="G63" s="125">
        <v>540000</v>
      </c>
      <c r="H63" s="1320">
        <v>1540000</v>
      </c>
      <c r="I63" s="347"/>
      <c r="J63" s="1236" t="s">
        <v>1120</v>
      </c>
      <c r="K63" s="1236" t="s">
        <v>1702</v>
      </c>
    </row>
    <row r="64" spans="1:16" s="128" customFormat="1">
      <c r="A64" s="1321"/>
      <c r="B64" s="1322">
        <v>2657098.1964199166</v>
      </c>
      <c r="C64" s="1322">
        <v>2443746.512295471</v>
      </c>
      <c r="D64" s="1322">
        <v>3557397.4691802263</v>
      </c>
      <c r="E64" s="1322">
        <v>1611973.7458856418</v>
      </c>
      <c r="F64" s="1322">
        <v>733865.0673172439</v>
      </c>
      <c r="G64" s="1322">
        <v>-253794.84157968871</v>
      </c>
      <c r="H64" s="1322">
        <v>10750286.14951881</v>
      </c>
      <c r="I64" s="347"/>
    </row>
    <row r="65" spans="1:12" s="128" customFormat="1">
      <c r="A65" s="456"/>
      <c r="I65" s="347"/>
    </row>
    <row r="66" spans="1:12" s="128" customFormat="1">
      <c r="I66" s="347"/>
    </row>
    <row r="67" spans="1:12" s="128" customFormat="1">
      <c r="A67" s="1319" t="s">
        <v>653</v>
      </c>
      <c r="I67" s="347"/>
    </row>
    <row r="68" spans="1:12" s="128" customFormat="1">
      <c r="A68" s="1307" t="s">
        <v>274</v>
      </c>
      <c r="I68" s="347"/>
    </row>
    <row r="69" spans="1:12" s="128" customFormat="1">
      <c r="A69" s="1307" t="s">
        <v>654</v>
      </c>
      <c r="I69" s="347"/>
    </row>
    <row r="70" spans="1:12" s="128" customFormat="1">
      <c r="A70" s="128" t="s">
        <v>655</v>
      </c>
      <c r="B70" s="385">
        <v>175703998.72938445</v>
      </c>
      <c r="D70" s="384" t="s">
        <v>1022</v>
      </c>
      <c r="E70" s="131">
        <v>17594.828571428574</v>
      </c>
      <c r="F70" s="128" t="s">
        <v>656</v>
      </c>
      <c r="I70" s="347"/>
    </row>
    <row r="71" spans="1:12" s="128" customFormat="1">
      <c r="A71" s="384" t="s">
        <v>1111</v>
      </c>
      <c r="B71" s="365">
        <v>10899041.210981011</v>
      </c>
      <c r="D71" s="384" t="s">
        <v>1492</v>
      </c>
      <c r="E71" s="1325">
        <v>16747.704071428572</v>
      </c>
      <c r="F71" s="128" t="s">
        <v>657</v>
      </c>
      <c r="I71" s="347"/>
    </row>
    <row r="72" spans="1:12" s="128" customFormat="1">
      <c r="A72" s="384" t="s">
        <v>1112</v>
      </c>
      <c r="B72" s="365">
        <v>-607954.74000000022</v>
      </c>
      <c r="D72" s="128" t="s">
        <v>658</v>
      </c>
      <c r="E72" s="1325">
        <v>0</v>
      </c>
      <c r="I72" s="347"/>
    </row>
    <row r="73" spans="1:12" s="128" customFormat="1">
      <c r="A73" s="128" t="s">
        <v>659</v>
      </c>
      <c r="B73" s="365">
        <v>-395860.40334200859</v>
      </c>
      <c r="D73" s="456" t="s">
        <v>478</v>
      </c>
      <c r="E73" s="1326"/>
      <c r="F73" s="1327"/>
      <c r="I73" s="347" t="s">
        <v>641</v>
      </c>
    </row>
    <row r="74" spans="1:12">
      <c r="A74" s="71" t="s">
        <v>1188</v>
      </c>
      <c r="B74" s="57">
        <v>185599224.79702345</v>
      </c>
      <c r="C74" s="482" t="s">
        <v>1666</v>
      </c>
      <c r="D74" s="71" t="s">
        <v>344</v>
      </c>
      <c r="E74" s="1828">
        <v>2000000</v>
      </c>
      <c r="F74" s="482" t="s">
        <v>1937</v>
      </c>
    </row>
    <row r="75" spans="1:12">
      <c r="A75" s="1003" t="s">
        <v>660</v>
      </c>
      <c r="B75" s="29">
        <v>9895226.0676389933</v>
      </c>
    </row>
    <row r="76" spans="1:12">
      <c r="A76" s="71" t="s">
        <v>880</v>
      </c>
      <c r="B76" s="29">
        <v>7895226.0676389933</v>
      </c>
      <c r="C76" s="243"/>
    </row>
    <row r="77" spans="1:12">
      <c r="A77" s="1003" t="s">
        <v>661</v>
      </c>
      <c r="C77" s="29"/>
      <c r="L77" s="29"/>
    </row>
    <row r="78" spans="1:12">
      <c r="A78" s="1003" t="s">
        <v>662</v>
      </c>
      <c r="B78" s="29">
        <v>0</v>
      </c>
    </row>
    <row r="79" spans="1:12">
      <c r="A79" s="1003" t="s">
        <v>663</v>
      </c>
      <c r="B79" s="29">
        <v>-4158054.5523580061</v>
      </c>
    </row>
    <row r="80" spans="1:12" s="4" customFormat="1">
      <c r="A80" s="1003" t="s">
        <v>664</v>
      </c>
      <c r="B80" s="29">
        <v>183517.03860615013</v>
      </c>
      <c r="C80" s="1003"/>
      <c r="D80" s="1003"/>
      <c r="E80" s="1003"/>
      <c r="F80" s="1003"/>
      <c r="G80" s="1003"/>
      <c r="H80" s="1003"/>
      <c r="J80" s="1003"/>
    </row>
    <row r="81" spans="1:10" s="4" customFormat="1">
      <c r="A81" s="1003" t="s">
        <v>665</v>
      </c>
      <c r="B81" s="29">
        <v>-905385.1999999996</v>
      </c>
      <c r="C81" s="1003"/>
      <c r="D81" s="1003"/>
      <c r="E81" s="1003"/>
      <c r="F81" s="1003"/>
      <c r="G81" s="1003"/>
      <c r="H81" s="1003"/>
      <c r="J81" s="1003"/>
    </row>
    <row r="82" spans="1:10" s="4" customFormat="1">
      <c r="A82" s="1003" t="s">
        <v>666</v>
      </c>
      <c r="B82" s="29">
        <v>-4718.7999999998137</v>
      </c>
      <c r="C82" s="1003"/>
      <c r="D82" s="1003"/>
      <c r="E82" s="1003"/>
      <c r="F82" s="1003"/>
      <c r="G82" s="1003"/>
      <c r="H82" s="1003"/>
      <c r="J82" s="1003"/>
    </row>
    <row r="83" spans="1:10" s="4" customFormat="1">
      <c r="A83" s="1003" t="s">
        <v>667</v>
      </c>
      <c r="B83" s="29">
        <v>10750286.14951881</v>
      </c>
      <c r="C83" s="1003"/>
      <c r="D83" s="1003"/>
      <c r="E83" s="1003"/>
      <c r="F83" s="1003"/>
      <c r="G83" s="1003"/>
      <c r="H83" s="1003"/>
      <c r="J83" s="1003"/>
    </row>
    <row r="84" spans="1:10" s="4" customFormat="1">
      <c r="A84" s="1003"/>
      <c r="B84" s="57">
        <v>5865644.6357669551</v>
      </c>
      <c r="C84" s="1003"/>
      <c r="D84" s="1003"/>
      <c r="E84" s="1003"/>
      <c r="F84" s="1003"/>
      <c r="G84" s="1003"/>
      <c r="H84" s="1003"/>
      <c r="J84" s="1003"/>
    </row>
    <row r="85" spans="1:10" s="4" customFormat="1">
      <c r="A85" s="1003" t="s">
        <v>668</v>
      </c>
      <c r="B85" s="385">
        <v>2029581.4318720382</v>
      </c>
      <c r="C85" s="1236"/>
      <c r="D85" s="1266"/>
      <c r="E85" s="1266"/>
      <c r="F85" s="131"/>
      <c r="G85" s="1003"/>
      <c r="H85" s="1003"/>
      <c r="J85" s="1003"/>
    </row>
    <row r="86" spans="1:10" s="4" customFormat="1">
      <c r="A86" s="1003"/>
      <c r="B86" s="29"/>
      <c r="C86" s="1003"/>
      <c r="D86" s="1003"/>
      <c r="E86" s="1003"/>
      <c r="F86" s="1003"/>
      <c r="G86" s="1003"/>
      <c r="H86" s="1003"/>
      <c r="J86" s="1003"/>
    </row>
    <row r="87" spans="1:10" s="4" customFormat="1">
      <c r="A87" s="8"/>
      <c r="B87" s="9" t="s">
        <v>619</v>
      </c>
      <c r="C87" s="9" t="s">
        <v>620</v>
      </c>
      <c r="D87" s="9" t="s">
        <v>621</v>
      </c>
      <c r="E87" s="10" t="s">
        <v>622</v>
      </c>
      <c r="F87" s="10" t="s">
        <v>623</v>
      </c>
      <c r="G87" s="10" t="s">
        <v>624</v>
      </c>
      <c r="H87" s="11" t="s">
        <v>625</v>
      </c>
      <c r="J87" s="1003"/>
    </row>
    <row r="88" spans="1:10" s="4" customFormat="1">
      <c r="A88" s="248" t="s">
        <v>1024</v>
      </c>
      <c r="B88" s="58">
        <v>41772341.297654092</v>
      </c>
      <c r="C88" s="58">
        <v>24939769.539530579</v>
      </c>
      <c r="D88" s="58">
        <v>41158138.236597747</v>
      </c>
      <c r="E88" s="58">
        <v>16981938.891987078</v>
      </c>
      <c r="F88" s="58">
        <v>12973897.942404546</v>
      </c>
      <c r="G88" s="59" t="s">
        <v>669</v>
      </c>
      <c r="H88" s="49">
        <v>137826085.90817404</v>
      </c>
      <c r="J88" s="1003"/>
    </row>
    <row r="89" spans="1:10" s="4" customFormat="1">
      <c r="A89" s="60" t="s">
        <v>670</v>
      </c>
      <c r="B89" s="26">
        <v>0.30308008112110729</v>
      </c>
      <c r="C89" s="26">
        <v>0.18095101065372038</v>
      </c>
      <c r="D89" s="26">
        <v>0.29862371818364747</v>
      </c>
      <c r="E89" s="26">
        <v>0.12321280677811029</v>
      </c>
      <c r="F89" s="26">
        <v>9.413238326341461E-2</v>
      </c>
      <c r="G89" s="26"/>
      <c r="H89" s="851">
        <v>1</v>
      </c>
      <c r="J89" s="1003"/>
    </row>
    <row r="90" spans="1:10" s="4" customFormat="1">
      <c r="A90" s="62" t="s">
        <v>671</v>
      </c>
      <c r="B90" s="31">
        <v>615125.70501367038</v>
      </c>
      <c r="C90" s="31">
        <v>367254.81130127027</v>
      </c>
      <c r="D90" s="31">
        <v>606081.15354211919</v>
      </c>
      <c r="E90" s="31">
        <v>250070.42480568987</v>
      </c>
      <c r="F90" s="31">
        <v>191049.3372092885</v>
      </c>
      <c r="G90" s="31">
        <v>0</v>
      </c>
      <c r="H90" s="32">
        <v>2029581.4318720382</v>
      </c>
      <c r="J90" s="482" t="s">
        <v>1709</v>
      </c>
    </row>
    <row r="91" spans="1:10" s="4" customFormat="1">
      <c r="A91" s="25"/>
      <c r="B91" s="28"/>
      <c r="C91" s="28"/>
      <c r="D91" s="28"/>
      <c r="E91" s="28"/>
      <c r="F91" s="28"/>
      <c r="G91" s="28"/>
      <c r="H91" s="29"/>
      <c r="J91" s="1003"/>
    </row>
    <row r="93" spans="1:10" s="4" customFormat="1">
      <c r="A93" s="1003" t="s">
        <v>672</v>
      </c>
      <c r="B93" s="1003"/>
      <c r="C93" s="1003"/>
      <c r="D93" s="1003"/>
      <c r="E93" s="1003"/>
      <c r="F93" s="1003"/>
      <c r="G93" s="1003"/>
      <c r="H93" s="1003"/>
      <c r="J93" s="1003"/>
    </row>
    <row r="94" spans="1:10" s="4" customFormat="1">
      <c r="A94" s="7" t="s">
        <v>1189</v>
      </c>
      <c r="B94" s="1003"/>
      <c r="C94" s="1003"/>
      <c r="D94" s="1003"/>
      <c r="E94" s="1003"/>
      <c r="F94" s="1003"/>
      <c r="G94" s="1003"/>
      <c r="H94" s="1003"/>
      <c r="J94" s="1003"/>
    </row>
    <row r="95" spans="1:10" s="4" customFormat="1">
      <c r="A95" s="8"/>
      <c r="B95" s="9" t="s">
        <v>619</v>
      </c>
      <c r="C95" s="9" t="s">
        <v>620</v>
      </c>
      <c r="D95" s="9" t="s">
        <v>621</v>
      </c>
      <c r="E95" s="10" t="s">
        <v>622</v>
      </c>
      <c r="F95" s="10" t="s">
        <v>623</v>
      </c>
      <c r="G95" s="10" t="s">
        <v>624</v>
      </c>
      <c r="H95" s="11" t="s">
        <v>625</v>
      </c>
      <c r="J95" s="1530"/>
    </row>
    <row r="96" spans="1:10" s="4" customFormat="1">
      <c r="A96" s="248" t="s">
        <v>1024</v>
      </c>
      <c r="B96" s="13">
        <v>41772341.297654092</v>
      </c>
      <c r="C96" s="13">
        <v>24939769.539530579</v>
      </c>
      <c r="D96" s="13">
        <v>41158138.236597747</v>
      </c>
      <c r="E96" s="13">
        <v>16981938.891987078</v>
      </c>
      <c r="F96" s="13">
        <v>12973897.942404546</v>
      </c>
      <c r="G96" s="13">
        <v>37877912.321210422</v>
      </c>
      <c r="H96" s="14">
        <v>175703998.22938445</v>
      </c>
      <c r="J96" s="1003"/>
    </row>
    <row r="97" spans="1:10" s="4" customFormat="1">
      <c r="A97" s="18" t="s">
        <v>662</v>
      </c>
      <c r="B97" s="58">
        <v>0</v>
      </c>
      <c r="C97" s="58">
        <v>0</v>
      </c>
      <c r="D97" s="58">
        <v>0</v>
      </c>
      <c r="E97" s="58">
        <v>0</v>
      </c>
      <c r="F97" s="58">
        <v>0</v>
      </c>
      <c r="G97" s="58">
        <v>0</v>
      </c>
      <c r="H97" s="49">
        <v>0</v>
      </c>
      <c r="J97" s="1003"/>
    </row>
    <row r="98" spans="1:10" s="4" customFormat="1">
      <c r="A98" s="18" t="s">
        <v>673</v>
      </c>
      <c r="B98" s="13">
        <v>0</v>
      </c>
      <c r="C98" s="13">
        <v>0</v>
      </c>
      <c r="D98" s="13">
        <v>0</v>
      </c>
      <c r="E98" s="13">
        <v>0</v>
      </c>
      <c r="F98" s="13">
        <v>0</v>
      </c>
      <c r="G98" s="13">
        <v>-4158054.5523580061</v>
      </c>
      <c r="H98" s="49">
        <v>-4158054.5523580061</v>
      </c>
      <c r="J98" s="1003"/>
    </row>
    <row r="99" spans="1:10" s="4" customFormat="1">
      <c r="A99" s="18" t="s">
        <v>664</v>
      </c>
      <c r="B99" s="13">
        <v>0</v>
      </c>
      <c r="C99" s="13">
        <v>0</v>
      </c>
      <c r="D99" s="13">
        <v>0</v>
      </c>
      <c r="E99" s="13">
        <v>0</v>
      </c>
      <c r="F99" s="13">
        <v>183517.03860615013</v>
      </c>
      <c r="G99" s="13">
        <v>0</v>
      </c>
      <c r="H99" s="49">
        <v>183517.03860615013</v>
      </c>
      <c r="J99" s="1003"/>
    </row>
    <row r="100" spans="1:10" s="4" customFormat="1">
      <c r="A100" s="18" t="s">
        <v>665</v>
      </c>
      <c r="B100" s="58">
        <v>-239676.63840398984</v>
      </c>
      <c r="C100" s="58">
        <v>-74420.112718204386</v>
      </c>
      <c r="D100" s="58">
        <v>-591288.44887780538</v>
      </c>
      <c r="E100" s="58">
        <v>0</v>
      </c>
      <c r="F100" s="58">
        <v>0</v>
      </c>
      <c r="G100" s="58">
        <v>0</v>
      </c>
      <c r="H100" s="49">
        <v>-905385.1999999996</v>
      </c>
      <c r="J100" s="29"/>
    </row>
    <row r="101" spans="1:10" s="4" customFormat="1">
      <c r="A101" s="18" t="s">
        <v>666</v>
      </c>
      <c r="B101" s="13">
        <v>0</v>
      </c>
      <c r="C101" s="13">
        <v>0</v>
      </c>
      <c r="D101" s="13">
        <v>0</v>
      </c>
      <c r="E101" s="13">
        <v>61556.25</v>
      </c>
      <c r="F101" s="13">
        <v>0</v>
      </c>
      <c r="G101" s="13">
        <v>-66275.049999999814</v>
      </c>
      <c r="H101" s="49">
        <v>-4718.7999999998137</v>
      </c>
      <c r="J101" s="1003"/>
    </row>
    <row r="102" spans="1:10" s="4" customFormat="1">
      <c r="A102" s="18" t="s">
        <v>667</v>
      </c>
      <c r="B102" s="13">
        <v>2657098.1964199166</v>
      </c>
      <c r="C102" s="13">
        <v>2443746.512295471</v>
      </c>
      <c r="D102" s="13">
        <v>3557397.4691802263</v>
      </c>
      <c r="E102" s="13">
        <v>1611973.7458856418</v>
      </c>
      <c r="F102" s="13">
        <v>733865.0673172439</v>
      </c>
      <c r="G102" s="13">
        <v>-253794.84157968871</v>
      </c>
      <c r="H102" s="49">
        <v>10750286.14951881</v>
      </c>
      <c r="J102" s="1003"/>
    </row>
    <row r="103" spans="1:10" s="4" customFormat="1">
      <c r="A103" s="18" t="s">
        <v>674</v>
      </c>
      <c r="B103" s="63">
        <v>615125.70501367038</v>
      </c>
      <c r="C103" s="63">
        <v>367254.81130127027</v>
      </c>
      <c r="D103" s="63">
        <v>606081.15354211919</v>
      </c>
      <c r="E103" s="63">
        <v>250070.42480568987</v>
      </c>
      <c r="F103" s="63">
        <v>191049.3372092885</v>
      </c>
      <c r="G103" s="63">
        <v>0</v>
      </c>
      <c r="H103" s="32">
        <v>2029581.4318720382</v>
      </c>
      <c r="J103" s="482"/>
    </row>
    <row r="104" spans="1:10" s="4" customFormat="1">
      <c r="A104" s="18" t="s">
        <v>675</v>
      </c>
      <c r="B104" s="63">
        <v>3032547.2630295972</v>
      </c>
      <c r="C104" s="63">
        <v>2736581.210878537</v>
      </c>
      <c r="D104" s="63">
        <v>3572190.17384454</v>
      </c>
      <c r="E104" s="63">
        <v>1923600.4206913316</v>
      </c>
      <c r="F104" s="63">
        <v>1108431.4431326825</v>
      </c>
      <c r="G104" s="63">
        <v>-4478124.4439376947</v>
      </c>
      <c r="H104" s="32">
        <v>7895226.0676389933</v>
      </c>
      <c r="J104" s="1003"/>
    </row>
    <row r="105" spans="1:10" s="4" customFormat="1">
      <c r="A105" s="8"/>
      <c r="B105" s="9" t="s">
        <v>619</v>
      </c>
      <c r="C105" s="9" t="s">
        <v>620</v>
      </c>
      <c r="D105" s="9" t="s">
        <v>621</v>
      </c>
      <c r="E105" s="10" t="s">
        <v>622</v>
      </c>
      <c r="F105" s="10" t="s">
        <v>623</v>
      </c>
      <c r="G105" s="10" t="s">
        <v>624</v>
      </c>
      <c r="H105" s="11" t="s">
        <v>625</v>
      </c>
      <c r="J105" s="1003"/>
    </row>
    <row r="106" spans="1:10" s="4" customFormat="1">
      <c r="A106" s="254" t="s">
        <v>1190</v>
      </c>
      <c r="B106" s="64">
        <v>44804888.56068369</v>
      </c>
      <c r="C106" s="64">
        <v>27676350.750409115</v>
      </c>
      <c r="D106" s="64">
        <v>44730328.410442285</v>
      </c>
      <c r="E106" s="64">
        <v>18905539.312678408</v>
      </c>
      <c r="F106" s="64">
        <v>14082329.385537228</v>
      </c>
      <c r="G106" s="64">
        <v>33399787.377272725</v>
      </c>
      <c r="H106" s="53">
        <v>183599224.29702345</v>
      </c>
      <c r="J106" s="1003"/>
    </row>
    <row r="107" spans="1:10" s="4" customFormat="1">
      <c r="A107" s="1003"/>
      <c r="B107" s="1003"/>
      <c r="C107" s="1003"/>
      <c r="D107" s="1003"/>
      <c r="E107" s="1003"/>
      <c r="F107" s="1003"/>
      <c r="G107" s="1003"/>
      <c r="H107" s="29"/>
      <c r="J107" s="1003"/>
    </row>
    <row r="108" spans="1:10" s="4" customFormat="1">
      <c r="A108" s="314" t="s">
        <v>957</v>
      </c>
      <c r="B108" s="28">
        <v>452691.48673945083</v>
      </c>
      <c r="C108" s="28">
        <v>270275.04327183618</v>
      </c>
      <c r="D108" s="28">
        <v>446035.30017599551</v>
      </c>
      <c r="E108" s="28">
        <v>184035.15163187328</v>
      </c>
      <c r="F108" s="28">
        <v>140599.56818084433</v>
      </c>
      <c r="G108" s="1003"/>
      <c r="H108" s="29">
        <v>1493636.5500000003</v>
      </c>
      <c r="J108" s="1530" t="s">
        <v>1658</v>
      </c>
    </row>
    <row r="109" spans="1:10" s="4" customFormat="1">
      <c r="A109" s="1003"/>
      <c r="B109" s="1003"/>
      <c r="C109" s="1003"/>
      <c r="D109" s="1003"/>
      <c r="E109" s="1003"/>
      <c r="F109" s="1003"/>
      <c r="G109" s="1003"/>
      <c r="H109" s="29"/>
      <c r="J109" s="1003"/>
    </row>
    <row r="110" spans="1:10" s="4" customFormat="1">
      <c r="A110" s="447" t="s">
        <v>958</v>
      </c>
      <c r="B110" s="1531">
        <v>45257580.047423139</v>
      </c>
      <c r="C110" s="1531">
        <v>27946625.793680951</v>
      </c>
      <c r="D110" s="1531">
        <v>45176363.71061828</v>
      </c>
      <c r="E110" s="1531">
        <v>19089574.464310281</v>
      </c>
      <c r="F110" s="1531">
        <v>14222928.953718072</v>
      </c>
      <c r="G110" s="1531">
        <v>33399787.377272725</v>
      </c>
      <c r="H110" s="1531">
        <v>185092860.84702346</v>
      </c>
      <c r="J110" s="482" t="s">
        <v>1665</v>
      </c>
    </row>
    <row r="111" spans="1:10">
      <c r="A111" s="314"/>
      <c r="B111" s="13"/>
      <c r="C111" s="13"/>
      <c r="D111" s="13"/>
      <c r="E111" s="13"/>
      <c r="F111" s="13"/>
      <c r="G111" s="13"/>
      <c r="H111" s="13"/>
    </row>
    <row r="112" spans="1:10">
      <c r="A112" s="314"/>
      <c r="B112" s="13"/>
      <c r="C112" s="13"/>
      <c r="D112" s="13"/>
      <c r="E112" s="13"/>
      <c r="F112" s="13"/>
      <c r="G112" s="13"/>
      <c r="H112" s="13"/>
    </row>
    <row r="113" spans="1:8">
      <c r="A113" s="314"/>
      <c r="B113" s="65"/>
      <c r="C113" s="13"/>
      <c r="F113" s="20"/>
      <c r="G113" s="20"/>
      <c r="H113" s="29">
        <v>0.66887226700782776</v>
      </c>
    </row>
    <row r="114" spans="1:8">
      <c r="B114" s="29">
        <v>45257580.047423139</v>
      </c>
      <c r="C114" s="29">
        <v>27946625.793680951</v>
      </c>
      <c r="D114" s="29">
        <v>45176363.710618302</v>
      </c>
      <c r="E114" s="29">
        <v>19089574.464310281</v>
      </c>
      <c r="F114" s="29">
        <v>14222928.953718072</v>
      </c>
      <c r="G114" s="29">
        <v>33399787.377272725</v>
      </c>
      <c r="H114" s="29">
        <v>185092860.84702346</v>
      </c>
    </row>
    <row r="115" spans="1:8">
      <c r="A115" s="66" t="s">
        <v>677</v>
      </c>
      <c r="C115" s="67">
        <v>1587688</v>
      </c>
      <c r="F115" s="20"/>
      <c r="G115" s="58"/>
    </row>
    <row r="116" spans="1:8">
      <c r="A116" s="1003" t="s">
        <v>679</v>
      </c>
      <c r="C116" s="68">
        <v>4.0857832087930834</v>
      </c>
      <c r="D116" s="29">
        <f>D114-1850000</f>
        <v>43326363.710618302</v>
      </c>
      <c r="F116" s="20"/>
      <c r="G116" s="58"/>
      <c r="H116" s="29">
        <f>H114-H63</f>
        <v>183552860.84702346</v>
      </c>
    </row>
    <row r="117" spans="1:8">
      <c r="A117" s="1003" t="s">
        <v>680</v>
      </c>
      <c r="C117" s="69">
        <v>6.0136590273053417E-2</v>
      </c>
      <c r="H117" s="29"/>
    </row>
    <row r="118" spans="1:8">
      <c r="A118" s="1003" t="s">
        <v>681</v>
      </c>
      <c r="C118" s="69">
        <v>0.15742931009987343</v>
      </c>
    </row>
    <row r="119" spans="1:8">
      <c r="D119" s="68">
        <v>32449230.030000001</v>
      </c>
    </row>
    <row r="120" spans="1:8">
      <c r="D120" s="68">
        <v>8404379.0800000001</v>
      </c>
    </row>
    <row r="121" spans="1:8">
      <c r="D121" s="68">
        <v>3876719.3</v>
      </c>
    </row>
    <row r="122" spans="1:8">
      <c r="D122" s="68">
        <f>SUM(D119:D121)</f>
        <v>44730328.409999996</v>
      </c>
    </row>
    <row r="123" spans="1:8">
      <c r="D123" s="68">
        <f>D106-D122</f>
        <v>4.4228881597518921E-4</v>
      </c>
    </row>
  </sheetData>
  <pageMargins left="0.75" right="0.75" top="1" bottom="1" header="0.5" footer="0.5"/>
  <pageSetup orientation="landscape" r:id="rId1"/>
  <headerFooter alignWithMargins="0">
    <oddHeader>&amp;CPrelim Budget 14/15</oddHeader>
  </headerFooter>
  <rowBreaks count="3" manualBreakCount="3">
    <brk id="29" max="8" man="1"/>
    <brk id="66" max="8" man="1"/>
    <brk id="92" max="8"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23"/>
  <sheetViews>
    <sheetView topLeftCell="A36" workbookViewId="0">
      <selection activeCell="A36" sqref="A1:XFD1048576"/>
    </sheetView>
  </sheetViews>
  <sheetFormatPr defaultColWidth="9.28515625" defaultRowHeight="12.75"/>
  <cols>
    <col min="1" max="1" width="19.42578125" style="850" customWidth="1"/>
    <col min="2" max="5" width="13.42578125" style="850" customWidth="1"/>
    <col min="6" max="6" width="13.42578125" style="850" bestFit="1" customWidth="1"/>
    <col min="7" max="8" width="15" style="850" bestFit="1" customWidth="1"/>
    <col min="9" max="9" width="7" style="4" bestFit="1" customWidth="1"/>
    <col min="10" max="10" width="22.42578125" style="850" bestFit="1" customWidth="1"/>
    <col min="11" max="16384" width="9.28515625" style="850"/>
  </cols>
  <sheetData>
    <row r="1" spans="1:19">
      <c r="A1" s="1" t="s">
        <v>1017</v>
      </c>
      <c r="H1" s="3" t="s">
        <v>615</v>
      </c>
    </row>
    <row r="2" spans="1:19">
      <c r="A2" s="5"/>
    </row>
    <row r="3" spans="1:19">
      <c r="A3" s="1"/>
    </row>
    <row r="4" spans="1:19">
      <c r="A4" s="6" t="s">
        <v>616</v>
      </c>
    </row>
    <row r="5" spans="1:19">
      <c r="A5" s="6" t="s">
        <v>617</v>
      </c>
    </row>
    <row r="6" spans="1:19">
      <c r="F6" s="29"/>
    </row>
    <row r="7" spans="1:19">
      <c r="A7" s="7" t="s">
        <v>618</v>
      </c>
    </row>
    <row r="8" spans="1:19">
      <c r="A8" s="8"/>
      <c r="B8" s="9" t="s">
        <v>619</v>
      </c>
      <c r="C8" s="9" t="s">
        <v>620</v>
      </c>
      <c r="D8" s="9" t="s">
        <v>621</v>
      </c>
      <c r="E8" s="10" t="s">
        <v>622</v>
      </c>
      <c r="F8" s="10" t="s">
        <v>623</v>
      </c>
      <c r="G8" s="10" t="s">
        <v>624</v>
      </c>
      <c r="H8" s="11" t="s">
        <v>625</v>
      </c>
      <c r="K8" s="507"/>
      <c r="L8" s="507"/>
      <c r="M8" s="507"/>
      <c r="N8" s="507"/>
      <c r="O8" s="507"/>
      <c r="P8" s="507"/>
      <c r="Q8" s="507"/>
      <c r="R8" s="507"/>
      <c r="S8" s="507"/>
    </row>
    <row r="9" spans="1:19">
      <c r="A9" s="248" t="s">
        <v>1010</v>
      </c>
      <c r="B9" s="13">
        <v>39346696.061075315</v>
      </c>
      <c r="C9" s="13">
        <v>23557862.046187531</v>
      </c>
      <c r="D9" s="13">
        <v>38500392.585758962</v>
      </c>
      <c r="E9" s="13">
        <v>14981687.599108079</v>
      </c>
      <c r="F9" s="13">
        <v>12135581.55199023</v>
      </c>
      <c r="G9" s="13">
        <v>33486082.780571401</v>
      </c>
      <c r="H9" s="14">
        <v>162008302.62469152</v>
      </c>
      <c r="I9" s="4" t="s">
        <v>626</v>
      </c>
      <c r="K9" s="1456" t="s">
        <v>1622</v>
      </c>
      <c r="L9" s="507"/>
      <c r="M9" s="507"/>
      <c r="N9" s="507"/>
      <c r="O9" s="507"/>
      <c r="P9" s="507"/>
      <c r="Q9" s="507"/>
      <c r="R9" s="507"/>
      <c r="S9" s="507"/>
    </row>
    <row r="10" spans="1:19">
      <c r="A10" s="20"/>
      <c r="B10" s="65">
        <v>0.38801553368126596</v>
      </c>
      <c r="C10" s="65">
        <v>0.23231471328755027</v>
      </c>
      <c r="D10" s="65">
        <v>0.37966975303118383</v>
      </c>
      <c r="E10" s="20"/>
      <c r="F10" s="20"/>
      <c r="G10" s="20"/>
      <c r="H10" s="20"/>
    </row>
    <row r="11" spans="1:19">
      <c r="A11" s="255" t="s">
        <v>1006</v>
      </c>
      <c r="B11" s="15">
        <v>7294.4735188305349</v>
      </c>
      <c r="C11" s="15">
        <v>3958.92</v>
      </c>
      <c r="D11" s="15">
        <v>6890.6134526693495</v>
      </c>
      <c r="E11" s="16"/>
      <c r="F11" s="16"/>
      <c r="G11" s="16"/>
      <c r="H11" s="17">
        <v>18144.006971499883</v>
      </c>
    </row>
    <row r="12" spans="1:19">
      <c r="A12" s="248" t="s">
        <v>934</v>
      </c>
      <c r="B12" s="19">
        <v>7658.2554667969489</v>
      </c>
      <c r="C12" s="19">
        <v>4056.4399999999996</v>
      </c>
      <c r="D12" s="19">
        <v>6910.6983661673603</v>
      </c>
      <c r="E12" s="20"/>
      <c r="F12" s="20"/>
      <c r="G12" s="20"/>
      <c r="H12" s="21">
        <v>18625.393832964306</v>
      </c>
    </row>
    <row r="13" spans="1:19">
      <c r="A13" s="248" t="s">
        <v>826</v>
      </c>
      <c r="B13" s="19">
        <v>7939</v>
      </c>
      <c r="C13" s="19">
        <v>4097</v>
      </c>
      <c r="D13" s="19">
        <v>6906</v>
      </c>
      <c r="E13" s="20"/>
      <c r="F13" s="20"/>
      <c r="G13" s="20"/>
      <c r="H13" s="21">
        <v>18942</v>
      </c>
    </row>
    <row r="14" spans="1:19">
      <c r="A14" s="248" t="s">
        <v>23</v>
      </c>
      <c r="B14" s="19">
        <v>7857.19</v>
      </c>
      <c r="C14" s="19">
        <v>4205.38</v>
      </c>
      <c r="D14" s="19">
        <v>7104.5809523809521</v>
      </c>
      <c r="E14" s="20"/>
      <c r="F14" s="20"/>
      <c r="G14" s="20"/>
      <c r="H14" s="21">
        <v>19167.150952380951</v>
      </c>
    </row>
    <row r="15" spans="1:19">
      <c r="A15" s="248" t="s">
        <v>240</v>
      </c>
      <c r="B15" s="19">
        <v>8167.79</v>
      </c>
      <c r="C15" s="19">
        <v>4386.04</v>
      </c>
      <c r="D15" s="19">
        <v>7684.83</v>
      </c>
      <c r="E15" s="20"/>
      <c r="F15" s="20"/>
      <c r="G15" s="20"/>
      <c r="H15" s="21">
        <v>20238.66</v>
      </c>
    </row>
    <row r="16" spans="1:19">
      <c r="A16" s="254" t="s">
        <v>888</v>
      </c>
      <c r="B16" s="22">
        <v>7783.3417971254967</v>
      </c>
      <c r="C16" s="22">
        <v>4140.7560000000003</v>
      </c>
      <c r="D16" s="22">
        <v>7099.344554243532</v>
      </c>
      <c r="E16" s="23"/>
      <c r="F16" s="23"/>
      <c r="G16" s="23"/>
      <c r="H16" s="24">
        <v>19023.442351369031</v>
      </c>
      <c r="I16" s="4" t="s">
        <v>630</v>
      </c>
    </row>
    <row r="17" spans="1:10">
      <c r="A17" s="25" t="s">
        <v>631</v>
      </c>
      <c r="B17" s="65">
        <v>0.40914476220258661</v>
      </c>
      <c r="C17" s="65">
        <v>0.21766596830998933</v>
      </c>
      <c r="D17" s="65">
        <v>0.37318926948742398</v>
      </c>
      <c r="E17" s="20"/>
      <c r="F17" s="20"/>
      <c r="G17" s="20"/>
      <c r="H17" s="19"/>
    </row>
    <row r="18" spans="1:10">
      <c r="A18" s="25"/>
      <c r="B18" s="26"/>
      <c r="C18" s="26"/>
      <c r="D18" s="26"/>
      <c r="E18" s="20"/>
      <c r="F18" s="20"/>
      <c r="G18" s="20"/>
      <c r="H18" s="19"/>
    </row>
    <row r="19" spans="1:10" s="4" customFormat="1">
      <c r="A19" s="25"/>
      <c r="B19" s="850"/>
      <c r="C19" s="850"/>
      <c r="D19" s="850"/>
      <c r="E19" s="850"/>
      <c r="F19" s="850"/>
      <c r="G19" s="850"/>
      <c r="H19" s="850"/>
      <c r="J19" s="850"/>
    </row>
    <row r="20" spans="1:10" s="4" customFormat="1">
      <c r="A20" s="30" t="s">
        <v>1109</v>
      </c>
      <c r="B20" s="914"/>
      <c r="C20" s="914"/>
      <c r="D20" s="914"/>
      <c r="E20" s="914"/>
      <c r="F20" s="914"/>
      <c r="G20" s="914"/>
      <c r="H20" s="914"/>
      <c r="J20" s="850"/>
    </row>
    <row r="21" spans="1:10" s="4" customFormat="1">
      <c r="A21" s="25" t="s">
        <v>638</v>
      </c>
      <c r="B21" s="29"/>
      <c r="C21" s="29"/>
      <c r="D21" s="29"/>
      <c r="E21" s="914"/>
      <c r="F21" s="914"/>
      <c r="G21" s="914"/>
      <c r="H21" s="28">
        <v>0</v>
      </c>
      <c r="J21" s="850"/>
    </row>
    <row r="22" spans="1:10" s="4" customFormat="1">
      <c r="A22" s="25"/>
      <c r="B22" s="29"/>
      <c r="C22" s="29"/>
      <c r="D22" s="29"/>
      <c r="E22" s="850"/>
      <c r="F22" s="850"/>
      <c r="G22" s="850"/>
      <c r="H22" s="28"/>
      <c r="J22" s="850"/>
    </row>
    <row r="24" spans="1:10" s="4" customFormat="1">
      <c r="A24" s="6" t="s">
        <v>639</v>
      </c>
      <c r="B24" s="850"/>
      <c r="C24" s="850"/>
      <c r="D24" s="850"/>
      <c r="E24" s="850"/>
      <c r="F24" s="850"/>
      <c r="G24" s="850"/>
      <c r="H24" s="850"/>
      <c r="J24" s="850"/>
    </row>
    <row r="25" spans="1:10" s="4" customFormat="1">
      <c r="A25" s="7" t="s">
        <v>1019</v>
      </c>
      <c r="B25" s="850"/>
      <c r="C25" s="850"/>
      <c r="D25" s="850"/>
      <c r="E25" s="850"/>
      <c r="F25" s="850"/>
      <c r="G25" s="850"/>
      <c r="H25" s="850"/>
      <c r="J25" s="850"/>
    </row>
    <row r="26" spans="1:10">
      <c r="A26" s="8"/>
      <c r="B26" s="9" t="s">
        <v>619</v>
      </c>
      <c r="C26" s="9" t="s">
        <v>620</v>
      </c>
      <c r="D26" s="9" t="s">
        <v>621</v>
      </c>
      <c r="E26" s="10" t="s">
        <v>622</v>
      </c>
      <c r="F26" s="10" t="s">
        <v>623</v>
      </c>
      <c r="G26" s="10" t="s">
        <v>624</v>
      </c>
      <c r="H26" s="11" t="s">
        <v>625</v>
      </c>
    </row>
    <row r="27" spans="1:10">
      <c r="A27" s="12" t="s">
        <v>640</v>
      </c>
      <c r="B27" s="23"/>
      <c r="C27" s="23"/>
      <c r="D27" s="23"/>
      <c r="E27" s="23"/>
      <c r="F27" s="23"/>
      <c r="G27" s="31">
        <v>3384720.8959008269</v>
      </c>
      <c r="H27" s="32">
        <v>3384720.8959008269</v>
      </c>
      <c r="I27" s="4" t="s">
        <v>641</v>
      </c>
    </row>
    <row r="28" spans="1:10">
      <c r="A28" s="16"/>
      <c r="G28" s="28"/>
      <c r="H28" s="29"/>
    </row>
    <row r="29" spans="1:10">
      <c r="A29" s="20"/>
      <c r="G29" s="29"/>
    </row>
    <row r="30" spans="1:10">
      <c r="A30" s="256" t="s">
        <v>1110</v>
      </c>
    </row>
    <row r="31" spans="1:10">
      <c r="A31" s="33" t="s">
        <v>1020</v>
      </c>
    </row>
    <row r="32" spans="1:10">
      <c r="A32" s="8"/>
      <c r="B32" s="9" t="s">
        <v>619</v>
      </c>
      <c r="C32" s="9" t="s">
        <v>620</v>
      </c>
      <c r="D32" s="9" t="s">
        <v>621</v>
      </c>
      <c r="E32" s="10" t="s">
        <v>622</v>
      </c>
      <c r="F32" s="10" t="s">
        <v>623</v>
      </c>
      <c r="G32" s="10" t="s">
        <v>624</v>
      </c>
      <c r="H32" s="11" t="s">
        <v>625</v>
      </c>
    </row>
    <row r="33" spans="1:10">
      <c r="A33" s="12"/>
      <c r="B33" s="22"/>
      <c r="C33" s="22"/>
      <c r="D33" s="22"/>
      <c r="E33" s="23"/>
      <c r="F33" s="335">
        <v>-289431.30496890208</v>
      </c>
      <c r="G33" s="23"/>
      <c r="H33" s="32">
        <v>-289431.30496890208</v>
      </c>
      <c r="J33" s="71"/>
    </row>
    <row r="34" spans="1:10">
      <c r="A34" s="20"/>
      <c r="B34" s="19"/>
      <c r="C34" s="19"/>
      <c r="D34" s="19"/>
      <c r="F34" s="28"/>
      <c r="H34" s="29"/>
    </row>
    <row r="35" spans="1:10">
      <c r="A35" s="20"/>
      <c r="B35" s="19"/>
      <c r="C35" s="19"/>
      <c r="D35" s="19"/>
    </row>
    <row r="36" spans="1:10">
      <c r="A36" s="256" t="s">
        <v>1089</v>
      </c>
    </row>
    <row r="37" spans="1:10">
      <c r="A37" s="7" t="s">
        <v>1021</v>
      </c>
      <c r="D37" s="7"/>
      <c r="J37" s="34"/>
    </row>
    <row r="38" spans="1:10">
      <c r="A38" s="8"/>
      <c r="B38" s="9" t="s">
        <v>619</v>
      </c>
      <c r="C38" s="9" t="s">
        <v>620</v>
      </c>
      <c r="D38" s="9" t="s">
        <v>621</v>
      </c>
      <c r="E38" s="10" t="s">
        <v>622</v>
      </c>
      <c r="F38" s="10" t="s">
        <v>623</v>
      </c>
      <c r="G38" s="10" t="s">
        <v>624</v>
      </c>
      <c r="H38" s="11" t="s">
        <v>625</v>
      </c>
    </row>
    <row r="39" spans="1:10">
      <c r="A39" s="248" t="s">
        <v>1022</v>
      </c>
      <c r="B39" s="19">
        <v>7346</v>
      </c>
      <c r="C39" s="19">
        <v>3852</v>
      </c>
      <c r="D39" s="19">
        <v>6945</v>
      </c>
      <c r="E39" s="20"/>
      <c r="F39" s="20"/>
      <c r="G39" s="19"/>
      <c r="H39" s="35">
        <v>18143</v>
      </c>
    </row>
    <row r="40" spans="1:10" ht="14.1" customHeight="1">
      <c r="A40" s="248" t="s">
        <v>889</v>
      </c>
      <c r="B40" s="36">
        <v>7618.9837971254965</v>
      </c>
      <c r="C40" s="36">
        <v>4033.9480000000003</v>
      </c>
      <c r="D40" s="36">
        <v>6951.3785542435317</v>
      </c>
      <c r="E40" s="20"/>
      <c r="F40" s="20"/>
      <c r="G40" s="20">
        <v>0</v>
      </c>
      <c r="H40" s="35">
        <v>18604.310351369029</v>
      </c>
    </row>
    <row r="41" spans="1:10" s="128" customFormat="1">
      <c r="A41" s="1312" t="s">
        <v>890</v>
      </c>
      <c r="B41" s="403">
        <v>-164.35800000000017</v>
      </c>
      <c r="C41" s="403">
        <v>-106.80799999999999</v>
      </c>
      <c r="D41" s="403">
        <v>-147.96600000000035</v>
      </c>
      <c r="E41" s="402"/>
      <c r="F41" s="402"/>
      <c r="G41" s="402">
        <v>0</v>
      </c>
      <c r="H41" s="1324">
        <v>-419.13200000000052</v>
      </c>
      <c r="I41" s="347"/>
      <c r="J41" s="1325"/>
    </row>
    <row r="42" spans="1:10" s="128" customFormat="1">
      <c r="A42" s="1307" t="s">
        <v>1105</v>
      </c>
      <c r="I42" s="347"/>
    </row>
    <row r="43" spans="1:10" s="128" customFormat="1">
      <c r="A43" s="1307"/>
      <c r="H43" s="1308">
        <v>3044</v>
      </c>
      <c r="I43" s="347"/>
    </row>
    <row r="44" spans="1:10" s="128" customFormat="1">
      <c r="A44" s="1309" t="s">
        <v>646</v>
      </c>
      <c r="B44" s="404"/>
      <c r="C44" s="404"/>
      <c r="D44" s="404"/>
      <c r="E44" s="1310"/>
      <c r="F44" s="1310"/>
      <c r="G44" s="404">
        <v>0</v>
      </c>
      <c r="H44" s="1311">
        <v>0</v>
      </c>
      <c r="I44" s="347"/>
      <c r="J44" s="128">
        <v>3919.7556116204159</v>
      </c>
    </row>
    <row r="45" spans="1:10" s="128" customFormat="1">
      <c r="A45" s="1312" t="s">
        <v>914</v>
      </c>
      <c r="B45" s="335">
        <v>647135.53424425609</v>
      </c>
      <c r="C45" s="335">
        <v>-130238.46182422491</v>
      </c>
      <c r="D45" s="335">
        <v>651891.42757996824</v>
      </c>
      <c r="E45" s="402"/>
      <c r="F45" s="402"/>
      <c r="G45" s="335"/>
      <c r="H45" s="1313">
        <v>1168788.4999999995</v>
      </c>
      <c r="I45" s="347"/>
    </row>
    <row r="46" spans="1:10" s="128" customFormat="1">
      <c r="A46" s="1312" t="s">
        <v>625</v>
      </c>
      <c r="B46" s="335">
        <v>647135.53424425609</v>
      </c>
      <c r="C46" s="335">
        <v>-130238.46182422491</v>
      </c>
      <c r="D46" s="335">
        <v>651891.42757996824</v>
      </c>
      <c r="E46" s="402"/>
      <c r="F46" s="402"/>
      <c r="G46" s="402"/>
      <c r="H46" s="1313">
        <v>1168788.4999999995</v>
      </c>
      <c r="I46" s="347" t="s">
        <v>647</v>
      </c>
    </row>
    <row r="47" spans="1:10" s="128" customFormat="1">
      <c r="I47" s="347"/>
    </row>
    <row r="48" spans="1:10" s="128" customFormat="1">
      <c r="A48" s="1314" t="s">
        <v>1493</v>
      </c>
      <c r="H48" s="1315"/>
      <c r="I48" s="347"/>
    </row>
    <row r="49" spans="1:9" s="128" customFormat="1">
      <c r="A49" s="1316"/>
      <c r="I49" s="347"/>
    </row>
    <row r="50" spans="1:9" s="128" customFormat="1">
      <c r="A50" s="1309"/>
      <c r="B50" s="45" t="s">
        <v>619</v>
      </c>
      <c r="C50" s="45" t="s">
        <v>620</v>
      </c>
      <c r="D50" s="45" t="s">
        <v>621</v>
      </c>
      <c r="E50" s="45" t="s">
        <v>622</v>
      </c>
      <c r="F50" s="45" t="s">
        <v>623</v>
      </c>
      <c r="G50" s="45" t="s">
        <v>624</v>
      </c>
      <c r="H50" s="1317" t="s">
        <v>625</v>
      </c>
      <c r="I50" s="347"/>
    </row>
    <row r="51" spans="1:9" s="128" customFormat="1">
      <c r="A51" s="60" t="s">
        <v>646</v>
      </c>
      <c r="B51" s="25"/>
      <c r="C51" s="25"/>
      <c r="D51" s="25"/>
      <c r="E51" s="125">
        <v>0</v>
      </c>
      <c r="F51" s="125">
        <v>0</v>
      </c>
      <c r="G51" s="25"/>
      <c r="H51" s="1318">
        <v>0</v>
      </c>
      <c r="I51" s="347" t="s">
        <v>648</v>
      </c>
    </row>
    <row r="52" spans="1:9" s="128" customFormat="1">
      <c r="A52" s="1312" t="s">
        <v>914</v>
      </c>
      <c r="B52" s="402"/>
      <c r="C52" s="402"/>
      <c r="D52" s="402"/>
      <c r="E52" s="335">
        <v>58625</v>
      </c>
      <c r="F52" s="335"/>
      <c r="G52" s="335">
        <v>189683</v>
      </c>
      <c r="H52" s="1313">
        <v>248308</v>
      </c>
      <c r="I52" s="347"/>
    </row>
    <row r="53" spans="1:9" s="128" customFormat="1">
      <c r="A53" s="1312" t="s">
        <v>625</v>
      </c>
      <c r="B53" s="335">
        <v>0</v>
      </c>
      <c r="C53" s="335">
        <v>0</v>
      </c>
      <c r="D53" s="335">
        <v>0</v>
      </c>
      <c r="E53" s="408">
        <v>58625</v>
      </c>
      <c r="F53" s="408">
        <v>0</v>
      </c>
      <c r="G53" s="408">
        <v>189683</v>
      </c>
      <c r="H53" s="1313">
        <v>248308</v>
      </c>
      <c r="I53" s="347"/>
    </row>
    <row r="54" spans="1:9" s="128" customFormat="1">
      <c r="E54" s="365"/>
      <c r="F54" s="365"/>
      <c r="G54" s="1236" t="s">
        <v>1607</v>
      </c>
      <c r="H54" s="385"/>
      <c r="I54" s="347"/>
    </row>
    <row r="55" spans="1:9" s="128" customFormat="1">
      <c r="G55" s="1236" t="s">
        <v>1770</v>
      </c>
      <c r="I55" s="347"/>
    </row>
    <row r="56" spans="1:9" s="128" customFormat="1">
      <c r="A56" s="1319" t="s">
        <v>649</v>
      </c>
      <c r="I56" s="347"/>
    </row>
    <row r="57" spans="1:9" s="128" customFormat="1">
      <c r="A57" s="1307" t="s">
        <v>1311</v>
      </c>
      <c r="I57" s="347"/>
    </row>
    <row r="58" spans="1:9" s="128" customFormat="1">
      <c r="A58" s="1309"/>
      <c r="B58" s="45" t="s">
        <v>619</v>
      </c>
      <c r="C58" s="45" t="s">
        <v>620</v>
      </c>
      <c r="D58" s="45" t="s">
        <v>621</v>
      </c>
      <c r="E58" s="45" t="s">
        <v>622</v>
      </c>
      <c r="F58" s="45" t="s">
        <v>623</v>
      </c>
      <c r="G58" s="45" t="s">
        <v>624</v>
      </c>
      <c r="H58" s="1317" t="s">
        <v>625</v>
      </c>
      <c r="I58" s="347"/>
    </row>
    <row r="59" spans="1:9" s="128" customFormat="1">
      <c r="A59" s="1002" t="s">
        <v>650</v>
      </c>
      <c r="B59" s="125">
        <v>443450.09326250001</v>
      </c>
      <c r="C59" s="125">
        <v>258495.22</v>
      </c>
      <c r="D59" s="125">
        <v>330435.34985833336</v>
      </c>
      <c r="E59" s="125">
        <v>385816.44254583336</v>
      </c>
      <c r="F59" s="125">
        <v>47505.243799999997</v>
      </c>
      <c r="G59" s="129">
        <v>545384.27980000002</v>
      </c>
      <c r="H59" s="1334">
        <v>2011086.6292666667</v>
      </c>
      <c r="I59" s="347" t="s">
        <v>651</v>
      </c>
    </row>
    <row r="60" spans="1:9" s="128" customFormat="1">
      <c r="A60" s="1002" t="s">
        <v>476</v>
      </c>
      <c r="B60" s="125">
        <v>149161.98539519997</v>
      </c>
      <c r="C60" s="125">
        <v>22821.907535199978</v>
      </c>
      <c r="D60" s="125">
        <v>148054.27990540001</v>
      </c>
      <c r="E60" s="125">
        <v>152472.25661519991</v>
      </c>
      <c r="F60" s="125">
        <v>153631.47246060002</v>
      </c>
      <c r="G60" s="129">
        <v>2520251.4687959249</v>
      </c>
      <c r="H60" s="1334">
        <v>3146393.3707075249</v>
      </c>
      <c r="I60" s="347"/>
    </row>
    <row r="61" spans="1:9" s="128" customFormat="1">
      <c r="A61" s="1002" t="s">
        <v>1617</v>
      </c>
      <c r="B61" s="125"/>
      <c r="C61" s="125"/>
      <c r="D61" s="125"/>
      <c r="E61" s="125"/>
      <c r="F61" s="125"/>
      <c r="G61" s="129">
        <v>689868.65363897011</v>
      </c>
      <c r="H61" s="1334">
        <v>689868.65363897011</v>
      </c>
      <c r="I61" s="347"/>
    </row>
    <row r="62" spans="1:9" s="128" customFormat="1">
      <c r="A62" s="1002" t="s">
        <v>1619</v>
      </c>
      <c r="B62" s="125"/>
      <c r="C62" s="125"/>
      <c r="D62" s="125"/>
      <c r="E62" s="125"/>
      <c r="F62" s="125"/>
      <c r="G62" s="129">
        <v>1989546.0942657962</v>
      </c>
      <c r="H62" s="1334">
        <v>1989546.0942657962</v>
      </c>
      <c r="I62" s="347"/>
    </row>
    <row r="63" spans="1:9" s="128" customFormat="1">
      <c r="A63" s="1002" t="s">
        <v>1618</v>
      </c>
      <c r="B63" s="125"/>
      <c r="C63" s="125"/>
      <c r="D63" s="125"/>
      <c r="E63" s="125"/>
      <c r="F63" s="125"/>
      <c r="G63" s="129">
        <v>-2000000</v>
      </c>
      <c r="H63" s="1334">
        <v>-2000000</v>
      </c>
      <c r="I63" s="347"/>
    </row>
    <row r="64" spans="1:9" s="128" customFormat="1">
      <c r="A64" s="1002" t="s">
        <v>1620</v>
      </c>
      <c r="B64" s="125">
        <v>126620.29397499999</v>
      </c>
      <c r="C64" s="125">
        <v>71586.779725</v>
      </c>
      <c r="D64" s="125">
        <v>51451.0357</v>
      </c>
      <c r="E64" s="125">
        <v>100776.9580875</v>
      </c>
      <c r="F64" s="125">
        <v>111061.561275</v>
      </c>
      <c r="G64" s="129">
        <v>-461496.62876250001</v>
      </c>
      <c r="H64" s="1334">
        <v>0</v>
      </c>
      <c r="I64" s="347"/>
    </row>
    <row r="65" spans="1:10" s="128" customFormat="1">
      <c r="A65" s="1002" t="s">
        <v>1616</v>
      </c>
      <c r="B65" s="125">
        <v>567976.25800000003</v>
      </c>
      <c r="C65" s="125">
        <v>408971.11050000007</v>
      </c>
      <c r="D65" s="125">
        <v>557965.19619999989</v>
      </c>
      <c r="E65" s="125">
        <v>620306.93830000004</v>
      </c>
      <c r="F65" s="125">
        <v>310908.21999999997</v>
      </c>
      <c r="G65" s="129">
        <v>-2466127.7230000002</v>
      </c>
      <c r="H65" s="1334">
        <v>0</v>
      </c>
      <c r="I65" s="347"/>
    </row>
    <row r="66" spans="1:10" s="128" customFormat="1">
      <c r="A66" s="1002" t="s">
        <v>1115</v>
      </c>
      <c r="B66" s="125">
        <v>49438.699200000003</v>
      </c>
      <c r="C66" s="125">
        <v>22501.89</v>
      </c>
      <c r="D66" s="125">
        <v>45707.547599999998</v>
      </c>
      <c r="E66" s="125">
        <v>37403.340947999997</v>
      </c>
      <c r="F66" s="125">
        <v>62308.400652000004</v>
      </c>
      <c r="G66" s="125"/>
      <c r="H66" s="1320">
        <v>217359.87840000002</v>
      </c>
      <c r="I66" s="1268" t="s">
        <v>1611</v>
      </c>
    </row>
    <row r="67" spans="1:10" s="128" customFormat="1">
      <c r="A67" s="1002" t="s">
        <v>166</v>
      </c>
      <c r="B67" s="125">
        <v>-438560.92155075324</v>
      </c>
      <c r="C67" s="125"/>
      <c r="D67" s="125"/>
      <c r="E67" s="125"/>
      <c r="F67" s="125">
        <v>325000</v>
      </c>
      <c r="G67" s="125"/>
      <c r="H67" s="1320">
        <v>-113560.92155075324</v>
      </c>
      <c r="I67" s="347"/>
    </row>
    <row r="68" spans="1:10" s="128" customFormat="1">
      <c r="A68" s="1002" t="s">
        <v>1120</v>
      </c>
      <c r="B68" s="125">
        <v>500000</v>
      </c>
      <c r="C68" s="125">
        <v>500000</v>
      </c>
      <c r="D68" s="125">
        <v>500000</v>
      </c>
      <c r="E68" s="125">
        <v>500000</v>
      </c>
      <c r="F68" s="125">
        <v>0</v>
      </c>
      <c r="G68" s="125">
        <v>0</v>
      </c>
      <c r="H68" s="1320">
        <v>2000000</v>
      </c>
      <c r="I68" s="347"/>
    </row>
    <row r="69" spans="1:10" s="128" customFormat="1">
      <c r="A69" s="1321"/>
      <c r="B69" s="1322">
        <v>1398086.4082819466</v>
      </c>
      <c r="C69" s="1322">
        <v>1284376.9077602001</v>
      </c>
      <c r="D69" s="1322">
        <v>1633613.4092637331</v>
      </c>
      <c r="E69" s="1322">
        <v>1796775.9364965335</v>
      </c>
      <c r="F69" s="1322">
        <v>1010414.8981876</v>
      </c>
      <c r="G69" s="1322">
        <v>817426.14473819127</v>
      </c>
      <c r="H69" s="1322">
        <v>7940693.7047282038</v>
      </c>
      <c r="I69" s="347"/>
    </row>
    <row r="70" spans="1:10" s="128" customFormat="1">
      <c r="A70" s="456"/>
      <c r="I70" s="347"/>
    </row>
    <row r="71" spans="1:10" s="128" customFormat="1">
      <c r="I71" s="347"/>
    </row>
    <row r="72" spans="1:10" s="128" customFormat="1">
      <c r="A72" s="1319" t="s">
        <v>653</v>
      </c>
      <c r="I72" s="347"/>
    </row>
    <row r="73" spans="1:10" s="128" customFormat="1">
      <c r="A73" s="1307" t="s">
        <v>274</v>
      </c>
      <c r="I73" s="347"/>
    </row>
    <row r="74" spans="1:10" s="128" customFormat="1">
      <c r="A74" s="1307" t="s">
        <v>654</v>
      </c>
      <c r="I74" s="347"/>
    </row>
    <row r="75" spans="1:10" s="128" customFormat="1">
      <c r="A75" s="128" t="s">
        <v>655</v>
      </c>
      <c r="B75" s="385">
        <v>162008302.62469152</v>
      </c>
      <c r="D75" s="384" t="s">
        <v>1006</v>
      </c>
      <c r="E75" s="131">
        <v>18144.006971499886</v>
      </c>
      <c r="F75" s="128" t="s">
        <v>656</v>
      </c>
      <c r="I75" s="347"/>
    </row>
    <row r="76" spans="1:10" s="128" customFormat="1">
      <c r="A76" s="384" t="s">
        <v>1111</v>
      </c>
      <c r="B76" s="365">
        <v>9004098.7031930089</v>
      </c>
      <c r="D76" s="384" t="s">
        <v>1022</v>
      </c>
      <c r="E76" s="1325">
        <v>18143</v>
      </c>
      <c r="F76" s="128" t="s">
        <v>657</v>
      </c>
      <c r="I76" s="347"/>
    </row>
    <row r="77" spans="1:10" s="128" customFormat="1">
      <c r="A77" s="384" t="s">
        <v>1112</v>
      </c>
      <c r="B77" s="365">
        <v>585297.17612399999</v>
      </c>
      <c r="D77" s="128" t="s">
        <v>658</v>
      </c>
      <c r="E77" s="1325">
        <v>0</v>
      </c>
      <c r="I77" s="347"/>
    </row>
    <row r="78" spans="1:10" s="128" customFormat="1">
      <c r="A78" s="128" t="s">
        <v>659</v>
      </c>
      <c r="B78" s="365">
        <v>4106300.2253759205</v>
      </c>
      <c r="D78" s="456" t="s">
        <v>478</v>
      </c>
      <c r="E78" s="1326"/>
      <c r="F78" s="1327"/>
      <c r="I78" s="347" t="s">
        <v>641</v>
      </c>
      <c r="J78" s="1236" t="s">
        <v>1614</v>
      </c>
    </row>
    <row r="79" spans="1:10" s="128" customFormat="1">
      <c r="A79" s="384" t="s">
        <v>1008</v>
      </c>
      <c r="B79" s="1328">
        <v>175703998.72938445</v>
      </c>
      <c r="D79" s="384" t="s">
        <v>344</v>
      </c>
      <c r="E79" s="131">
        <v>0</v>
      </c>
      <c r="I79" s="347"/>
    </row>
    <row r="80" spans="1:10" s="128" customFormat="1">
      <c r="A80" s="128" t="s">
        <v>660</v>
      </c>
      <c r="B80" s="385">
        <v>13695696.104692936</v>
      </c>
      <c r="I80" s="347"/>
    </row>
    <row r="81" spans="1:10" s="128" customFormat="1">
      <c r="A81" s="384" t="s">
        <v>880</v>
      </c>
      <c r="B81" s="385">
        <v>13695696.104692936</v>
      </c>
      <c r="C81" s="406"/>
      <c r="I81" s="347"/>
    </row>
    <row r="82" spans="1:10" s="128" customFormat="1">
      <c r="A82" s="128" t="s">
        <v>661</v>
      </c>
      <c r="C82" s="385"/>
      <c r="I82" s="347"/>
    </row>
    <row r="83" spans="1:10" s="128" customFormat="1">
      <c r="A83" s="128" t="s">
        <v>662</v>
      </c>
      <c r="B83" s="385">
        <v>0</v>
      </c>
      <c r="I83" s="347"/>
    </row>
    <row r="84" spans="1:10" s="128" customFormat="1">
      <c r="A84" s="128" t="s">
        <v>663</v>
      </c>
      <c r="B84" s="385">
        <v>3384720.8959008269</v>
      </c>
      <c r="I84" s="347"/>
    </row>
    <row r="85" spans="1:10" s="347" customFormat="1">
      <c r="A85" s="128" t="s">
        <v>664</v>
      </c>
      <c r="B85" s="385">
        <v>-289431.30496890208</v>
      </c>
      <c r="C85" s="128"/>
      <c r="D85" s="128"/>
      <c r="E85" s="128"/>
      <c r="F85" s="128"/>
      <c r="G85" s="128"/>
      <c r="H85" s="128"/>
      <c r="J85" s="128"/>
    </row>
    <row r="86" spans="1:10" s="347" customFormat="1">
      <c r="A86" s="128" t="s">
        <v>665</v>
      </c>
      <c r="B86" s="385">
        <v>1168788.4999999995</v>
      </c>
      <c r="C86" s="128"/>
      <c r="D86" s="128"/>
      <c r="E86" s="128"/>
      <c r="F86" s="128"/>
      <c r="G86" s="128"/>
      <c r="H86" s="128"/>
      <c r="J86" s="128"/>
    </row>
    <row r="87" spans="1:10" s="347" customFormat="1">
      <c r="A87" s="128" t="s">
        <v>666</v>
      </c>
      <c r="B87" s="385">
        <v>248308</v>
      </c>
      <c r="C87" s="128"/>
      <c r="D87" s="128"/>
      <c r="E87" s="128"/>
      <c r="F87" s="128"/>
      <c r="G87" s="128"/>
      <c r="H87" s="128"/>
      <c r="J87" s="128"/>
    </row>
    <row r="88" spans="1:10" s="347" customFormat="1">
      <c r="A88" s="128" t="s">
        <v>667</v>
      </c>
      <c r="B88" s="385">
        <v>7940693.7047282038</v>
      </c>
      <c r="C88" s="128"/>
      <c r="D88" s="128"/>
      <c r="E88" s="128"/>
      <c r="F88" s="128"/>
      <c r="G88" s="128"/>
      <c r="H88" s="128"/>
      <c r="J88" s="128"/>
    </row>
    <row r="89" spans="1:10" s="347" customFormat="1">
      <c r="A89" s="128"/>
      <c r="B89" s="1328">
        <v>12453079.795660127</v>
      </c>
      <c r="C89" s="128"/>
      <c r="D89" s="128"/>
      <c r="E89" s="128"/>
      <c r="F89" s="128"/>
      <c r="G89" s="128"/>
      <c r="H89" s="128"/>
      <c r="J89" s="128"/>
    </row>
    <row r="90" spans="1:10" s="347" customFormat="1">
      <c r="A90" s="128" t="s">
        <v>668</v>
      </c>
      <c r="B90" s="1329">
        <v>1242616.309032809</v>
      </c>
      <c r="C90" s="128"/>
      <c r="D90" s="128"/>
      <c r="E90" s="128"/>
      <c r="F90" s="128"/>
      <c r="G90" s="128"/>
      <c r="H90" s="128"/>
      <c r="J90" s="128"/>
    </row>
    <row r="91" spans="1:10" s="347" customFormat="1">
      <c r="A91" s="128"/>
      <c r="B91" s="385"/>
      <c r="C91" s="128"/>
      <c r="D91" s="128"/>
      <c r="E91" s="128"/>
      <c r="F91" s="128"/>
      <c r="G91" s="128"/>
      <c r="H91" s="128"/>
      <c r="J91" s="128"/>
    </row>
    <row r="92" spans="1:10" s="347" customFormat="1">
      <c r="A92" s="1309"/>
      <c r="B92" s="10" t="s">
        <v>619</v>
      </c>
      <c r="C92" s="10" t="s">
        <v>620</v>
      </c>
      <c r="D92" s="10" t="s">
        <v>621</v>
      </c>
      <c r="E92" s="10" t="s">
        <v>622</v>
      </c>
      <c r="F92" s="10" t="s">
        <v>623</v>
      </c>
      <c r="G92" s="10" t="s">
        <v>624</v>
      </c>
      <c r="H92" s="1330" t="s">
        <v>625</v>
      </c>
      <c r="J92" s="128"/>
    </row>
    <row r="93" spans="1:10" s="347" customFormat="1">
      <c r="A93" s="1331" t="s">
        <v>1010</v>
      </c>
      <c r="B93" s="407">
        <v>39346696.061075315</v>
      </c>
      <c r="C93" s="407">
        <v>23557862.046187531</v>
      </c>
      <c r="D93" s="407">
        <v>38500392.585758962</v>
      </c>
      <c r="E93" s="407">
        <v>14981687.599108079</v>
      </c>
      <c r="F93" s="407">
        <v>12135581.55199023</v>
      </c>
      <c r="G93" s="1332" t="s">
        <v>669</v>
      </c>
      <c r="H93" s="1318">
        <v>128522219.84412012</v>
      </c>
      <c r="J93" s="128"/>
    </row>
    <row r="94" spans="1:10" s="347" customFormat="1">
      <c r="A94" s="60" t="s">
        <v>670</v>
      </c>
      <c r="B94" s="401">
        <v>0.30614703129775911</v>
      </c>
      <c r="C94" s="576">
        <v>0.18329797038021906</v>
      </c>
      <c r="D94" s="401">
        <v>0.29956215067289277</v>
      </c>
      <c r="E94" s="401">
        <v>0.1165688518084952</v>
      </c>
      <c r="F94" s="401">
        <v>9.4423995840633865E-2</v>
      </c>
      <c r="G94" s="401"/>
      <c r="H94" s="1333">
        <v>1</v>
      </c>
      <c r="J94" s="128"/>
    </row>
    <row r="95" spans="1:10" s="347" customFormat="1">
      <c r="A95" s="62" t="s">
        <v>671</v>
      </c>
      <c r="B95" s="335">
        <v>380423.29405257327</v>
      </c>
      <c r="C95" s="335">
        <v>227769.04740707294</v>
      </c>
      <c r="D95" s="335">
        <v>372240.81399508019</v>
      </c>
      <c r="E95" s="335">
        <v>144850.35638246479</v>
      </c>
      <c r="F95" s="335">
        <v>117332.79719561776</v>
      </c>
      <c r="G95" s="335">
        <v>0</v>
      </c>
      <c r="H95" s="1313">
        <v>1242616.309032809</v>
      </c>
      <c r="J95" s="128"/>
    </row>
    <row r="96" spans="1:10" s="347" customFormat="1">
      <c r="A96" s="25"/>
      <c r="B96" s="365"/>
      <c r="C96" s="365"/>
      <c r="D96" s="365"/>
      <c r="E96" s="365"/>
      <c r="F96" s="365"/>
      <c r="G96" s="365"/>
      <c r="H96" s="385"/>
      <c r="J96" s="128"/>
    </row>
    <row r="97" spans="1:10" s="128" customFormat="1">
      <c r="I97" s="347"/>
    </row>
    <row r="98" spans="1:10" s="4" customFormat="1">
      <c r="A98" s="850" t="s">
        <v>672</v>
      </c>
      <c r="B98" s="850"/>
      <c r="C98" s="850"/>
      <c r="D98" s="850"/>
      <c r="E98" s="850"/>
      <c r="F98" s="850"/>
      <c r="G98" s="850"/>
      <c r="H98" s="850"/>
      <c r="J98" s="850"/>
    </row>
    <row r="99" spans="1:10" s="4" customFormat="1">
      <c r="A99" s="7" t="s">
        <v>1023</v>
      </c>
      <c r="B99" s="850"/>
      <c r="C99" s="850"/>
      <c r="D99" s="850"/>
      <c r="E99" s="850"/>
      <c r="F99" s="850"/>
      <c r="G99" s="850"/>
      <c r="H99" s="850"/>
      <c r="J99" s="850"/>
    </row>
    <row r="100" spans="1:10" s="4" customFormat="1">
      <c r="A100" s="8"/>
      <c r="B100" s="9" t="s">
        <v>619</v>
      </c>
      <c r="C100" s="9" t="s">
        <v>620</v>
      </c>
      <c r="D100" s="9" t="s">
        <v>621</v>
      </c>
      <c r="E100" s="10" t="s">
        <v>622</v>
      </c>
      <c r="F100" s="10" t="s">
        <v>623</v>
      </c>
      <c r="G100" s="10" t="s">
        <v>624</v>
      </c>
      <c r="H100" s="11" t="s">
        <v>625</v>
      </c>
      <c r="J100" s="850"/>
    </row>
    <row r="101" spans="1:10" s="4" customFormat="1">
      <c r="A101" s="248" t="s">
        <v>1010</v>
      </c>
      <c r="B101" s="13">
        <v>39346696.061075315</v>
      </c>
      <c r="C101" s="13">
        <v>23557862.046187531</v>
      </c>
      <c r="D101" s="13">
        <v>38500392.585758962</v>
      </c>
      <c r="E101" s="13">
        <v>14981687.599108079</v>
      </c>
      <c r="F101" s="13">
        <v>12135581.55199023</v>
      </c>
      <c r="G101" s="13">
        <v>33486082.780571401</v>
      </c>
      <c r="H101" s="14">
        <v>162008302.62469152</v>
      </c>
      <c r="J101" s="850"/>
    </row>
    <row r="102" spans="1:10" s="4" customFormat="1">
      <c r="A102" s="18" t="s">
        <v>662</v>
      </c>
      <c r="B102" s="58">
        <v>0</v>
      </c>
      <c r="C102" s="58">
        <v>0</v>
      </c>
      <c r="D102" s="58">
        <v>0</v>
      </c>
      <c r="E102" s="58">
        <v>0</v>
      </c>
      <c r="F102" s="58">
        <v>0</v>
      </c>
      <c r="G102" s="58">
        <v>0</v>
      </c>
      <c r="H102" s="49">
        <v>0</v>
      </c>
      <c r="J102" s="850"/>
    </row>
    <row r="103" spans="1:10" s="4" customFormat="1">
      <c r="A103" s="18" t="s">
        <v>673</v>
      </c>
      <c r="B103" s="13">
        <v>0</v>
      </c>
      <c r="C103" s="13">
        <v>0</v>
      </c>
      <c r="D103" s="13">
        <v>0</v>
      </c>
      <c r="E103" s="13">
        <v>0</v>
      </c>
      <c r="F103" s="13">
        <v>0</v>
      </c>
      <c r="G103" s="13">
        <v>3384720.8959008269</v>
      </c>
      <c r="H103" s="49">
        <v>3384720.8959008269</v>
      </c>
      <c r="J103" s="850"/>
    </row>
    <row r="104" spans="1:10" s="4" customFormat="1">
      <c r="A104" s="18" t="s">
        <v>664</v>
      </c>
      <c r="B104" s="13">
        <v>0</v>
      </c>
      <c r="C104" s="13">
        <v>0</v>
      </c>
      <c r="D104" s="13">
        <v>0</v>
      </c>
      <c r="E104" s="13">
        <v>0</v>
      </c>
      <c r="F104" s="13">
        <v>-289431.30496890208</v>
      </c>
      <c r="G104" s="13">
        <v>0</v>
      </c>
      <c r="H104" s="49">
        <v>-289431.30496890208</v>
      </c>
      <c r="J104" s="850"/>
    </row>
    <row r="105" spans="1:10" s="4" customFormat="1">
      <c r="A105" s="18" t="s">
        <v>665</v>
      </c>
      <c r="B105" s="58">
        <v>647135.53424425609</v>
      </c>
      <c r="C105" s="58">
        <v>-130238.46182422491</v>
      </c>
      <c r="D105" s="58">
        <v>651891.42757996824</v>
      </c>
      <c r="E105" s="58">
        <v>0</v>
      </c>
      <c r="F105" s="58">
        <v>0</v>
      </c>
      <c r="G105" s="58">
        <v>0</v>
      </c>
      <c r="H105" s="49">
        <v>1168788.4999999995</v>
      </c>
      <c r="J105" s="29"/>
    </row>
    <row r="106" spans="1:10" s="4" customFormat="1">
      <c r="A106" s="18" t="s">
        <v>666</v>
      </c>
      <c r="B106" s="13">
        <v>0</v>
      </c>
      <c r="C106" s="13">
        <v>0</v>
      </c>
      <c r="D106" s="13">
        <v>0</v>
      </c>
      <c r="E106" s="13">
        <v>58625</v>
      </c>
      <c r="F106" s="13">
        <v>0</v>
      </c>
      <c r="G106" s="13">
        <v>189683</v>
      </c>
      <c r="H106" s="49">
        <v>248308</v>
      </c>
      <c r="J106" s="850"/>
    </row>
    <row r="107" spans="1:10" s="4" customFormat="1">
      <c r="A107" s="18" t="s">
        <v>667</v>
      </c>
      <c r="B107" s="13">
        <v>1398086.4082819466</v>
      </c>
      <c r="C107" s="13">
        <v>1284376.9077602001</v>
      </c>
      <c r="D107" s="13">
        <v>1633613.4092637331</v>
      </c>
      <c r="E107" s="13">
        <v>1796775.9364965335</v>
      </c>
      <c r="F107" s="13">
        <v>1010414.8981876</v>
      </c>
      <c r="G107" s="13">
        <v>817426.14473819127</v>
      </c>
      <c r="H107" s="49">
        <v>7940693.7047282048</v>
      </c>
      <c r="J107" s="850"/>
    </row>
    <row r="108" spans="1:10" s="4" customFormat="1">
      <c r="A108" s="18" t="s">
        <v>674</v>
      </c>
      <c r="B108" s="63">
        <v>380423.29405257327</v>
      </c>
      <c r="C108" s="63">
        <v>227769.04740707294</v>
      </c>
      <c r="D108" s="63">
        <v>372240.81399508019</v>
      </c>
      <c r="E108" s="63">
        <v>144850.35638246479</v>
      </c>
      <c r="F108" s="63">
        <v>117332.79719561776</v>
      </c>
      <c r="G108" s="63">
        <v>0</v>
      </c>
      <c r="H108" s="32">
        <v>1242616.309032809</v>
      </c>
      <c r="J108" s="850"/>
    </row>
    <row r="109" spans="1:10" s="4" customFormat="1">
      <c r="A109" s="18" t="s">
        <v>675</v>
      </c>
      <c r="B109" s="63">
        <v>2425645.236578776</v>
      </c>
      <c r="C109" s="63">
        <v>1381907.4933430483</v>
      </c>
      <c r="D109" s="63">
        <v>2657745.6508387811</v>
      </c>
      <c r="E109" s="63">
        <v>2000251.2928789982</v>
      </c>
      <c r="F109" s="63">
        <v>838316.39041431574</v>
      </c>
      <c r="G109" s="63">
        <v>4391830.0406390186</v>
      </c>
      <c r="H109" s="32">
        <v>13695696.104692938</v>
      </c>
      <c r="J109" s="850"/>
    </row>
    <row r="110" spans="1:10" s="4" customFormat="1">
      <c r="A110" s="8"/>
      <c r="B110" s="9" t="s">
        <v>619</v>
      </c>
      <c r="C110" s="9" t="s">
        <v>620</v>
      </c>
      <c r="D110" s="9" t="s">
        <v>621</v>
      </c>
      <c r="E110" s="10" t="s">
        <v>622</v>
      </c>
      <c r="F110" s="10" t="s">
        <v>623</v>
      </c>
      <c r="G110" s="10" t="s">
        <v>624</v>
      </c>
      <c r="H110" s="11" t="s">
        <v>625</v>
      </c>
      <c r="J110" s="850"/>
    </row>
    <row r="111" spans="1:10" s="4" customFormat="1">
      <c r="A111" s="254" t="s">
        <v>1024</v>
      </c>
      <c r="B111" s="64">
        <v>41772341.297654092</v>
      </c>
      <c r="C111" s="64">
        <v>24939769.539530579</v>
      </c>
      <c r="D111" s="64">
        <v>41158138.236597747</v>
      </c>
      <c r="E111" s="64">
        <v>16981938.891987078</v>
      </c>
      <c r="F111" s="64">
        <v>12973897.942404546</v>
      </c>
      <c r="G111" s="64">
        <v>37877912.321210422</v>
      </c>
      <c r="H111" s="53">
        <v>175703998.72938445</v>
      </c>
      <c r="J111" s="850"/>
    </row>
    <row r="112" spans="1:10" s="4" customFormat="1">
      <c r="A112" s="850"/>
      <c r="B112" s="850"/>
      <c r="C112" s="850"/>
      <c r="D112" s="850"/>
      <c r="E112" s="850"/>
      <c r="F112" s="850"/>
      <c r="G112" s="850"/>
      <c r="H112" s="29"/>
      <c r="J112" s="850"/>
    </row>
    <row r="113" spans="1:10" s="4" customFormat="1">
      <c r="A113" s="314" t="s">
        <v>1506</v>
      </c>
      <c r="B113" s="28">
        <v>498045.85338393779</v>
      </c>
      <c r="C113" s="28">
        <v>298192.64846233436</v>
      </c>
      <c r="D113" s="28">
        <v>487333.44347964838</v>
      </c>
      <c r="E113" s="28">
        <v>189636.44047386432</v>
      </c>
      <c r="F113" s="28">
        <v>153610.76470028181</v>
      </c>
      <c r="G113" s="850"/>
      <c r="H113" s="29">
        <v>1626819.1505000668</v>
      </c>
      <c r="J113" s="850"/>
    </row>
    <row r="114" spans="1:10" s="4" customFormat="1">
      <c r="A114" s="850"/>
      <c r="B114" s="850"/>
      <c r="C114" s="850"/>
      <c r="D114" s="850"/>
      <c r="E114" s="850"/>
      <c r="F114" s="850"/>
      <c r="G114" s="850"/>
      <c r="H114" s="29"/>
      <c r="J114" s="850"/>
    </row>
    <row r="115" spans="1:10" s="4" customFormat="1">
      <c r="A115" s="314" t="s">
        <v>958</v>
      </c>
      <c r="B115" s="13">
        <v>42270387.151038028</v>
      </c>
      <c r="C115" s="13">
        <v>25237962.187992912</v>
      </c>
      <c r="D115" s="13">
        <v>41645471.680077396</v>
      </c>
      <c r="E115" s="13">
        <v>17171575.332460944</v>
      </c>
      <c r="F115" s="13">
        <v>13127508.707104828</v>
      </c>
      <c r="G115" s="13">
        <v>37877912.321210422</v>
      </c>
      <c r="H115" s="13">
        <v>177330817.87988451</v>
      </c>
      <c r="J115" s="850"/>
    </row>
    <row r="116" spans="1:10">
      <c r="A116" s="314"/>
      <c r="B116" s="13"/>
      <c r="C116" s="13"/>
      <c r="D116" s="13"/>
      <c r="E116" s="13"/>
      <c r="F116" s="13"/>
      <c r="G116" s="13"/>
      <c r="H116" s="13"/>
    </row>
    <row r="117" spans="1:10">
      <c r="A117" s="314"/>
      <c r="B117" s="13"/>
      <c r="C117" s="13"/>
      <c r="D117" s="13"/>
      <c r="E117" s="13"/>
      <c r="F117" s="13"/>
      <c r="G117" s="13"/>
      <c r="H117" s="13"/>
    </row>
    <row r="118" spans="1:10">
      <c r="A118" s="314"/>
      <c r="B118" s="65"/>
      <c r="C118" s="13"/>
      <c r="F118" s="20"/>
      <c r="G118" s="20"/>
      <c r="H118" s="29"/>
    </row>
    <row r="119" spans="1:10">
      <c r="F119" s="20"/>
      <c r="G119" s="58"/>
      <c r="H119" s="29"/>
    </row>
    <row r="120" spans="1:10">
      <c r="A120" s="66" t="s">
        <v>677</v>
      </c>
      <c r="C120" s="67">
        <v>1620579</v>
      </c>
      <c r="F120" s="20"/>
      <c r="G120" s="58"/>
    </row>
    <row r="121" spans="1:10">
      <c r="A121" s="850" t="s">
        <v>679</v>
      </c>
      <c r="C121" s="68">
        <v>3.7442116527457872</v>
      </c>
      <c r="D121" s="482" t="s">
        <v>1551</v>
      </c>
      <c r="F121" s="20"/>
      <c r="G121" s="58"/>
    </row>
    <row r="122" spans="1:10">
      <c r="A122" s="850" t="s">
        <v>680</v>
      </c>
      <c r="C122" s="69">
        <v>5.9837224262983352E-2</v>
      </c>
      <c r="H122" s="29"/>
    </row>
    <row r="123" spans="1:10">
      <c r="A123" s="850" t="s">
        <v>681</v>
      </c>
      <c r="C123" s="69">
        <v>0.14774118518593241</v>
      </c>
    </row>
  </sheetData>
  <pageMargins left="0.75" right="0.75" top="1" bottom="1" header="0.5" footer="0.5"/>
  <pageSetup orientation="landscape" r:id="rId1"/>
  <headerFooter alignWithMargins="0">
    <oddHeader>&amp;CPrelim Budget 16/17</oddHeader>
    <oddFooter>Prepared by Kathy Blackwood &amp;D&amp;RPage &amp;P</oddFooter>
  </headerFooter>
  <rowBreaks count="3" manualBreakCount="3">
    <brk id="29" max="7" man="1"/>
    <brk id="71" max="7" man="1"/>
    <brk id="97" max="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0E78182CD37249958C2E17C6D3E4F6" ma:contentTypeVersion="2" ma:contentTypeDescription="Create a new document." ma:contentTypeScope="" ma:versionID="600cd25d45f2bce1df814d7dce8e60a5">
  <xsd:schema xmlns:xsd="http://www.w3.org/2001/XMLSchema" xmlns:xs="http://www.w3.org/2001/XMLSchema" xmlns:p="http://schemas.microsoft.com/office/2006/metadata/properties" xmlns:ns2="bdd4c939-baf3-4cbf-8963-f49dc06b3d45" targetNamespace="http://schemas.microsoft.com/office/2006/metadata/properties" ma:root="true" ma:fieldsID="39baa9e5b542821e490d5186f7869c75" ns2:_="">
    <xsd:import namespace="bdd4c939-baf3-4cbf-8963-f49dc06b3d45"/>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d4c939-baf3-4cbf-8963-f49dc06b3d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9023A06-C104-45A0-B3CB-271B1D6A8569}"/>
</file>

<file path=customXml/itemProps2.xml><?xml version="1.0" encoding="utf-8"?>
<ds:datastoreItem xmlns:ds="http://schemas.openxmlformats.org/officeDocument/2006/customXml" ds:itemID="{D34D1E86-E7F5-46C7-AA63-BDFECCCA2E1F}"/>
</file>

<file path=customXml/itemProps3.xml><?xml version="1.0" encoding="utf-8"?>
<ds:datastoreItem xmlns:ds="http://schemas.openxmlformats.org/officeDocument/2006/customXml" ds:itemID="{1F123C5C-7C5D-4BCC-ADF0-F28B24B3D5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26</vt:i4>
      </vt:variant>
    </vt:vector>
  </HeadingPairs>
  <TitlesOfParts>
    <vt:vector size="59" baseType="lpstr">
      <vt:lpstr>Info</vt:lpstr>
      <vt:lpstr>Assumptions</vt:lpstr>
      <vt:lpstr>Revenues</vt:lpstr>
      <vt:lpstr>Rev-Exp Plan</vt:lpstr>
      <vt:lpstr>Rev-Exp Plan (2)</vt:lpstr>
      <vt:lpstr>Resource Alloc 20-21</vt:lpstr>
      <vt:lpstr>Resource Alloc 19-20</vt:lpstr>
      <vt:lpstr>Resource Alloc 18-19</vt:lpstr>
      <vt:lpstr>Resource Alloc 17-18</vt:lpstr>
      <vt:lpstr>Resource Alloc 16-17</vt:lpstr>
      <vt:lpstr>Resource Alloc 15-16</vt:lpstr>
      <vt:lpstr>Resource Alloc 14-15</vt:lpstr>
      <vt:lpstr>Resource Alloc 13-14</vt:lpstr>
      <vt:lpstr>Resource Alloc 12-13</vt:lpstr>
      <vt:lpstr>Resource Alloc 11-12</vt:lpstr>
      <vt:lpstr>Resource Alloc 10-11</vt:lpstr>
      <vt:lpstr>Resource Alloc 09-10</vt:lpstr>
      <vt:lpstr>Resource Alloc 08-09</vt:lpstr>
      <vt:lpstr>Resource Alloc 07-08</vt:lpstr>
      <vt:lpstr>SB361</vt:lpstr>
      <vt:lpstr>Taxes</vt:lpstr>
      <vt:lpstr>COLA</vt:lpstr>
      <vt:lpstr>Misc 18-19</vt:lpstr>
      <vt:lpstr>MISC 16-17</vt:lpstr>
      <vt:lpstr>Misc 17-18</vt:lpstr>
      <vt:lpstr>Misc</vt:lpstr>
      <vt:lpstr>Foundation</vt:lpstr>
      <vt:lpstr>Sq Ft</vt:lpstr>
      <vt:lpstr>Insurance</vt:lpstr>
      <vt:lpstr>Utilities New</vt:lpstr>
      <vt:lpstr>Utilities</vt:lpstr>
      <vt:lpstr>CPI</vt:lpstr>
      <vt:lpstr>AFT Release Time</vt:lpstr>
      <vt:lpstr>AFT_COLA_05.06_06.07</vt:lpstr>
      <vt:lpstr>Assumptions!Print_Area</vt:lpstr>
      <vt:lpstr>COLA!Print_Area</vt:lpstr>
      <vt:lpstr>Foundation!Print_Area</vt:lpstr>
      <vt:lpstr>Insurance!Print_Area</vt:lpstr>
      <vt:lpstr>'Resource Alloc 07-08'!Print_Area</vt:lpstr>
      <vt:lpstr>'Resource Alloc 08-09'!Print_Area</vt:lpstr>
      <vt:lpstr>'Resource Alloc 09-10'!Print_Area</vt:lpstr>
      <vt:lpstr>'Resource Alloc 10-11'!Print_Area</vt:lpstr>
      <vt:lpstr>'Resource Alloc 11-12'!Print_Area</vt:lpstr>
      <vt:lpstr>'Resource Alloc 12-13'!Print_Area</vt:lpstr>
      <vt:lpstr>'Resource Alloc 13-14'!Print_Area</vt:lpstr>
      <vt:lpstr>'Resource Alloc 14-15'!Print_Area</vt:lpstr>
      <vt:lpstr>'Resource Alloc 15-16'!Print_Area</vt:lpstr>
      <vt:lpstr>'Resource Alloc 16-17'!Print_Area</vt:lpstr>
      <vt:lpstr>'Resource Alloc 17-18'!Print_Area</vt:lpstr>
      <vt:lpstr>'Resource Alloc 18-19'!Print_Area</vt:lpstr>
      <vt:lpstr>'Resource Alloc 19-20'!Print_Area</vt:lpstr>
      <vt:lpstr>'Resource Alloc 20-21'!Print_Area</vt:lpstr>
      <vt:lpstr>Revenues!Print_Area</vt:lpstr>
      <vt:lpstr>'Rev-Exp Plan'!Print_Area</vt:lpstr>
      <vt:lpstr>'Rev-Exp Plan (2)'!Print_Area</vt:lpstr>
      <vt:lpstr>'SB361'!Print_Area</vt:lpstr>
      <vt:lpstr>'Sq Ft'!Print_Area</vt:lpstr>
      <vt:lpstr>Utilities!Print_Area</vt:lpstr>
      <vt:lpstr>Assumptions!Print_Titles</vt:lpstr>
    </vt:vector>
  </TitlesOfParts>
  <Company>SMCCCD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Blackwood</dc:creator>
  <cp:lastModifiedBy>Madeleine</cp:lastModifiedBy>
  <cp:lastPrinted>2018-07-27T00:35:28Z</cp:lastPrinted>
  <dcterms:created xsi:type="dcterms:W3CDTF">2006-03-14T17:12:23Z</dcterms:created>
  <dcterms:modified xsi:type="dcterms:W3CDTF">2019-05-17T20:26:28Z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0x0101000F0E78182CD37249958C2E17C6D3E4F6</vt:lpwstr>
  </property>
</Properties>
</file>