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10" yWindow="990" windowWidth="15480" windowHeight="11640" activeTab="0"/>
  </bookViews>
  <sheets>
    <sheet name="Sheet1" sheetId="1" r:id="rId1"/>
  </sheets>
  <definedNames>
    <definedName name="_xlnm.Print_Area" localSheetId="0">'Sheet1'!$A$1:$E$207</definedName>
  </definedNames>
  <calcPr fullCalcOnLoad="1"/>
</workbook>
</file>

<file path=xl/sharedStrings.xml><?xml version="1.0" encoding="utf-8"?>
<sst xmlns="http://schemas.openxmlformats.org/spreadsheetml/2006/main" count="148" uniqueCount="64">
  <si>
    <t xml:space="preserve"> </t>
  </si>
  <si>
    <t>Other</t>
  </si>
  <si>
    <t>Total</t>
  </si>
  <si>
    <t>Excellent</t>
  </si>
  <si>
    <t>Very good</t>
  </si>
  <si>
    <t>Good</t>
  </si>
  <si>
    <t>Fair</t>
  </si>
  <si>
    <t>Poor</t>
  </si>
  <si>
    <t>A friend told me</t>
  </si>
  <si>
    <t>I read about the services in the Schedule of Classes or CSM Catalog</t>
  </si>
  <si>
    <t>A counselor or instructor told me</t>
  </si>
  <si>
    <t>I learned about the CWEE program from a classroom presentation</t>
  </si>
  <si>
    <t>I previously enrolled in CWEE</t>
  </si>
  <si>
    <t>CSM Webpage</t>
  </si>
  <si>
    <t>Want employer to know that I am interested in this field as possible career</t>
  </si>
  <si>
    <t>Improve my GPA</t>
  </si>
  <si>
    <t>To add to my semester load so that I am enrolled in a minimum number of units</t>
  </si>
  <si>
    <t>On display boards posted around campus</t>
  </si>
  <si>
    <t>Via email</t>
  </si>
  <si>
    <t>More classroom presentations</t>
  </si>
  <si>
    <t>fliers posted around campus</t>
  </si>
  <si>
    <t>I.  Evaluate COOP Program</t>
  </si>
  <si>
    <t>1. Overall quality of Cooperative Work Experience Education (COOP) program:</t>
  </si>
  <si>
    <t>2. Overall satisfaction with COOP staff:</t>
  </si>
  <si>
    <t>3. Ability of COOP staff to answer my questions:</t>
  </si>
  <si>
    <t>4. Hours of availability of COOP office:</t>
  </si>
  <si>
    <t>5. How did you find out about the COOP program ? (Check all that apply)</t>
  </si>
  <si>
    <t>6. What is your primary reason for taking COOP?</t>
  </si>
  <si>
    <t>Learn new skills on job</t>
  </si>
  <si>
    <t>II.  Evaluate COOP Orientation</t>
  </si>
  <si>
    <t>If you attended the COOP orientation session at the beginning of the semester, please rate the</t>
  </si>
  <si>
    <t>extent to which you agree with the following statements:</t>
  </si>
  <si>
    <t>1.  Learned useful information about the COOP program, COOP sections, and how to register</t>
  </si>
  <si>
    <t>expectations</t>
  </si>
  <si>
    <t>2. The job success (true/false) quiz help me understand work place behaviors &amp; employer</t>
  </si>
  <si>
    <t xml:space="preserve">3. I learned what is expected of me as a COOP participant </t>
  </si>
  <si>
    <t>III.  Suggestions</t>
  </si>
  <si>
    <t>3. How would you prefer to learn about future COOP events or news? (Check all that apply)</t>
  </si>
  <si>
    <t>IV. Evaluate Your Coop Experience</t>
  </si>
  <si>
    <t>1. Did your Coop learning objectives increase your job skills/knowledge?</t>
  </si>
  <si>
    <t>Yes</t>
  </si>
  <si>
    <t>No</t>
  </si>
  <si>
    <t xml:space="preserve">2. Did your Coop Learning Objectives and work experience assist you in your work or help you </t>
  </si>
  <si>
    <t>develop better work habits/behaviors?</t>
  </si>
  <si>
    <t>program?</t>
  </si>
  <si>
    <t>3. Do you feel that your COOP work experience supports your educational goals/academic</t>
  </si>
  <si>
    <t>4. Did you clarify your career goals as a reult of your COOP work experiences?</t>
  </si>
  <si>
    <t>7.  Do you intend to enroll in Coop again?</t>
  </si>
  <si>
    <t>V.  Evaluate Your Coop Instructor's Involvement</t>
  </si>
  <si>
    <t>1.  How many times did you meet with your Coop instructor?</t>
  </si>
  <si>
    <t>and review due dates?</t>
  </si>
  <si>
    <t xml:space="preserve">2. Did your instructor give you an overview of the Coop program, explain expectations, </t>
  </si>
  <si>
    <t>3. How helpful was your COOP Instructor in explaining the purpose of the learning objectives?</t>
  </si>
  <si>
    <t>4.  Did you COOP instructor maintain his/her stated office hours?</t>
  </si>
  <si>
    <r>
      <t>5. Did your instructor call on/visit your work supervisor?</t>
    </r>
    <r>
      <rPr>
        <sz val="10"/>
        <color indexed="8"/>
        <rFont val="Arial"/>
        <family val="2"/>
      </rPr>
      <t xml:space="preserve"> </t>
    </r>
  </si>
  <si>
    <t>VI.  Evaluate Your Work Supervisor's Involvement:</t>
  </si>
  <si>
    <t>1.  Was your work supervisor supportive of your participation in COOP?</t>
  </si>
  <si>
    <t>responsibilities?</t>
  </si>
  <si>
    <t>2. Did your work supervisor encourage your involvement in learning new or expanded</t>
  </si>
  <si>
    <t>3. Did your work supervisor assist you in identifying and writing your learning objectives?</t>
  </si>
  <si>
    <t>4. Was your work supervisor receptive to being contacted by your COOP instructor?</t>
  </si>
  <si>
    <t>Cooperative Work Experience Education (COOP)</t>
  </si>
  <si>
    <r>
      <t>6. Has your COOP experience had a positive effect on your job?</t>
    </r>
    <r>
      <rPr>
        <sz val="10"/>
        <color indexed="8"/>
        <rFont val="Arial"/>
        <family val="2"/>
      </rPr>
      <t xml:space="preserve"> </t>
    </r>
  </si>
  <si>
    <t>CSM Student Services Program Improvement Surveys, 2004-2009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</si>
</sst>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0"/>
      <color indexed="1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top" wrapText="1"/>
    </xf>
    <xf numFmtId="9" fontId="0" fillId="33" borderId="0" xfId="0" applyNumberFormat="1" applyFill="1" applyBorder="1" applyAlignment="1">
      <alignment horizontal="left" vertical="top" wrapText="1"/>
    </xf>
    <xf numFmtId="9" fontId="0" fillId="33" borderId="0" xfId="59" applyFont="1" applyFill="1" applyBorder="1" applyAlignment="1">
      <alignment horizontal="center" vertical="top" wrapText="1"/>
    </xf>
    <xf numFmtId="9" fontId="0" fillId="33" borderId="10" xfId="59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9" fontId="0" fillId="33" borderId="11" xfId="59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9.140625" style="3" customWidth="1"/>
    <col min="2" max="2" width="66.7109375" style="3" customWidth="1"/>
    <col min="3" max="3" width="9.140625" style="3" customWidth="1"/>
    <col min="4" max="4" width="11.57421875" style="15" bestFit="1" customWidth="1"/>
    <col min="5" max="5" width="11.57421875" style="3" bestFit="1" customWidth="1"/>
    <col min="6" max="9" width="9.140625" style="3" customWidth="1"/>
    <col min="10" max="10" width="21.57421875" style="3" customWidth="1"/>
    <col min="11" max="16384" width="9.140625" style="3" customWidth="1"/>
  </cols>
  <sheetData>
    <row r="1" spans="1:10" ht="21.75" customHeight="1">
      <c r="A1" s="22" t="s">
        <v>63</v>
      </c>
      <c r="B1" s="22"/>
      <c r="C1" s="22"/>
      <c r="D1" s="22"/>
      <c r="E1" s="22"/>
      <c r="F1" s="1"/>
      <c r="G1" s="1"/>
      <c r="H1" s="1"/>
      <c r="I1" s="1"/>
      <c r="J1" s="2"/>
    </row>
    <row r="2" spans="1:9" ht="18.75" customHeight="1">
      <c r="A2" s="23" t="s">
        <v>61</v>
      </c>
      <c r="B2" s="23"/>
      <c r="C2" s="23"/>
      <c r="D2" s="23"/>
      <c r="E2" s="23"/>
      <c r="F2" s="2"/>
      <c r="G2" s="2"/>
      <c r="H2" s="2"/>
      <c r="I2" s="2"/>
    </row>
    <row r="3" ht="12">
      <c r="A3" s="4"/>
    </row>
    <row r="4" ht="12">
      <c r="A4" s="4"/>
    </row>
    <row r="5" ht="12.75">
      <c r="A5" s="5" t="s">
        <v>21</v>
      </c>
    </row>
    <row r="6" spans="1:4" s="5" customFormat="1" ht="12.75">
      <c r="A6" s="5" t="s">
        <v>22</v>
      </c>
      <c r="D6" s="16"/>
    </row>
    <row r="7" spans="2:7" ht="12">
      <c r="B7" s="3" t="s">
        <v>3</v>
      </c>
      <c r="C7" s="6">
        <f>14+119+73+107</f>
        <v>313</v>
      </c>
      <c r="D7" s="13">
        <f aca="true" t="shared" si="0" ref="D7:D12">C7/$C$12</f>
        <v>0.5916824196597353</v>
      </c>
      <c r="F7" s="9"/>
      <c r="G7" s="9"/>
    </row>
    <row r="8" spans="2:7" ht="12">
      <c r="B8" s="3" t="s">
        <v>4</v>
      </c>
      <c r="C8" s="6">
        <f>6+73+35+32</f>
        <v>146</v>
      </c>
      <c r="D8" s="13">
        <f t="shared" si="0"/>
        <v>0.27599243856332706</v>
      </c>
      <c r="F8" s="9"/>
      <c r="G8" s="9"/>
    </row>
    <row r="9" spans="2:7" ht="12">
      <c r="B9" s="3" t="s">
        <v>5</v>
      </c>
      <c r="C9" s="6">
        <f>2+24+19+13</f>
        <v>58</v>
      </c>
      <c r="D9" s="13">
        <f t="shared" si="0"/>
        <v>0.10964083175803403</v>
      </c>
      <c r="F9" s="9"/>
      <c r="G9" s="9"/>
    </row>
    <row r="10" spans="2:7" ht="12">
      <c r="B10" s="3" t="s">
        <v>6</v>
      </c>
      <c r="C10" s="6">
        <f>1+1+0+1</f>
        <v>3</v>
      </c>
      <c r="D10" s="13">
        <f t="shared" si="0"/>
        <v>0.005671077504725898</v>
      </c>
      <c r="F10" s="9"/>
      <c r="G10" s="9"/>
    </row>
    <row r="11" spans="2:7" ht="12">
      <c r="B11" s="10" t="s">
        <v>7</v>
      </c>
      <c r="C11" s="11">
        <f>0+9+0+0</f>
        <v>9</v>
      </c>
      <c r="D11" s="14">
        <f t="shared" si="0"/>
        <v>0.017013232514177693</v>
      </c>
      <c r="F11" s="9"/>
      <c r="G11" s="9"/>
    </row>
    <row r="12" spans="2:7" ht="12">
      <c r="B12" s="3" t="s">
        <v>2</v>
      </c>
      <c r="C12" s="6">
        <f>SUM(C7:C11)</f>
        <v>529</v>
      </c>
      <c r="D12" s="13">
        <f t="shared" si="0"/>
        <v>1</v>
      </c>
      <c r="F12" s="12"/>
      <c r="G12" s="8"/>
    </row>
    <row r="17" spans="1:4" s="5" customFormat="1" ht="12.75">
      <c r="A17" s="5" t="s">
        <v>23</v>
      </c>
      <c r="D17" s="16"/>
    </row>
    <row r="18" spans="2:4" s="5" customFormat="1" ht="12.75">
      <c r="B18" s="3" t="s">
        <v>3</v>
      </c>
      <c r="C18" s="6">
        <f>14+127+87+114</f>
        <v>342</v>
      </c>
      <c r="D18" s="13">
        <f aca="true" t="shared" si="1" ref="D18:D23">C18/$C$23</f>
        <v>0.6477272727272727</v>
      </c>
    </row>
    <row r="19" spans="2:4" s="5" customFormat="1" ht="12.75">
      <c r="B19" s="3" t="s">
        <v>4</v>
      </c>
      <c r="C19" s="6">
        <f>5+69+28+29</f>
        <v>131</v>
      </c>
      <c r="D19" s="13">
        <f t="shared" si="1"/>
        <v>0.2481060606060606</v>
      </c>
    </row>
    <row r="20" spans="2:4" s="5" customFormat="1" ht="12.75">
      <c r="B20" s="3" t="s">
        <v>5</v>
      </c>
      <c r="C20" s="6">
        <f>3+19+10+8</f>
        <v>40</v>
      </c>
      <c r="D20" s="13">
        <f t="shared" si="1"/>
        <v>0.07575757575757576</v>
      </c>
    </row>
    <row r="21" spans="2:6" ht="12">
      <c r="B21" s="3" t="s">
        <v>6</v>
      </c>
      <c r="C21" s="6">
        <f>1+10+1+1</f>
        <v>13</v>
      </c>
      <c r="D21" s="13">
        <f t="shared" si="1"/>
        <v>0.02462121212121212</v>
      </c>
      <c r="E21" s="7"/>
      <c r="F21" s="7"/>
    </row>
    <row r="22" spans="2:6" ht="12">
      <c r="B22" s="10" t="s">
        <v>7</v>
      </c>
      <c r="C22" s="11">
        <f>0+1+1+0</f>
        <v>2</v>
      </c>
      <c r="D22" s="14">
        <f t="shared" si="1"/>
        <v>0.003787878787878788</v>
      </c>
      <c r="E22" s="7"/>
      <c r="F22" s="7"/>
    </row>
    <row r="23" spans="2:6" ht="12">
      <c r="B23" s="3" t="s">
        <v>2</v>
      </c>
      <c r="C23" s="6">
        <f>SUM(C18:C22)</f>
        <v>528</v>
      </c>
      <c r="D23" s="13">
        <f t="shared" si="1"/>
        <v>1</v>
      </c>
      <c r="E23" s="6"/>
      <c r="F23" s="6"/>
    </row>
    <row r="24" spans="3:6" ht="12">
      <c r="C24" s="6"/>
      <c r="D24" s="13"/>
      <c r="E24" s="6"/>
      <c r="F24" s="6"/>
    </row>
    <row r="25" spans="3:6" ht="12">
      <c r="C25" s="6"/>
      <c r="D25" s="13"/>
      <c r="E25" s="6"/>
      <c r="F25" s="6"/>
    </row>
    <row r="26" spans="3:6" ht="12">
      <c r="C26" s="6"/>
      <c r="D26" s="13"/>
      <c r="E26" s="6"/>
      <c r="F26" s="6"/>
    </row>
    <row r="27" spans="1:4" s="5" customFormat="1" ht="12.75">
      <c r="A27" s="5" t="s">
        <v>24</v>
      </c>
      <c r="D27" s="16"/>
    </row>
    <row r="28" spans="2:6" ht="12">
      <c r="B28" s="3" t="s">
        <v>3</v>
      </c>
      <c r="C28" s="6">
        <f>11+111+82+106</f>
        <v>310</v>
      </c>
      <c r="D28" s="13">
        <f aca="true" t="shared" si="2" ref="D28:D33">C28/$C$33</f>
        <v>0.5927342256214149</v>
      </c>
      <c r="E28" s="7"/>
      <c r="F28" s="7"/>
    </row>
    <row r="29" spans="2:6" ht="12">
      <c r="B29" s="3" t="s">
        <v>4</v>
      </c>
      <c r="C29" s="6">
        <f>11+76+33+38</f>
        <v>158</v>
      </c>
      <c r="D29" s="13">
        <f t="shared" si="2"/>
        <v>0.30210325047801145</v>
      </c>
      <c r="E29" s="7"/>
      <c r="F29" s="7"/>
    </row>
    <row r="30" spans="2:6" ht="12">
      <c r="B30" s="3" t="s">
        <v>5</v>
      </c>
      <c r="C30" s="6">
        <f>1+22+8+6</f>
        <v>37</v>
      </c>
      <c r="D30" s="13">
        <f t="shared" si="2"/>
        <v>0.07074569789674952</v>
      </c>
      <c r="E30" s="7"/>
      <c r="F30" s="7"/>
    </row>
    <row r="31" spans="2:6" ht="12">
      <c r="B31" s="3" t="s">
        <v>6</v>
      </c>
      <c r="C31" s="6">
        <f>0+13+2+3</f>
        <v>18</v>
      </c>
      <c r="D31" s="13">
        <f t="shared" si="2"/>
        <v>0.03441682600382409</v>
      </c>
      <c r="E31" s="7"/>
      <c r="F31" s="7"/>
    </row>
    <row r="32" spans="2:6" ht="12">
      <c r="B32" s="10" t="s">
        <v>7</v>
      </c>
      <c r="C32" s="11">
        <f>0+0+0+0</f>
        <v>0</v>
      </c>
      <c r="D32" s="14">
        <f t="shared" si="2"/>
        <v>0</v>
      </c>
      <c r="E32" s="7"/>
      <c r="F32" s="7"/>
    </row>
    <row r="33" spans="2:6" ht="12">
      <c r="B33" s="3" t="s">
        <v>2</v>
      </c>
      <c r="C33" s="6">
        <f>SUM(C28:C32)</f>
        <v>523</v>
      </c>
      <c r="D33" s="13">
        <f t="shared" si="2"/>
        <v>1</v>
      </c>
      <c r="E33" s="6"/>
      <c r="F33" s="6"/>
    </row>
    <row r="37" spans="1:4" s="5" customFormat="1" ht="12.75">
      <c r="A37" s="5" t="s">
        <v>25</v>
      </c>
      <c r="D37" s="16"/>
    </row>
    <row r="38" spans="2:6" ht="12">
      <c r="B38" s="3" t="s">
        <v>3</v>
      </c>
      <c r="C38" s="6">
        <f>6+93+56+90</f>
        <v>245</v>
      </c>
      <c r="D38" s="13">
        <f aca="true" t="shared" si="3" ref="D38:D43">C38/$C$43</f>
        <v>0.4684512428298279</v>
      </c>
      <c r="E38" s="7"/>
      <c r="F38" s="7"/>
    </row>
    <row r="39" spans="2:6" ht="12">
      <c r="B39" s="3" t="s">
        <v>4</v>
      </c>
      <c r="C39" s="6">
        <f>9+71+47+37</f>
        <v>164</v>
      </c>
      <c r="D39" s="13">
        <f t="shared" si="3"/>
        <v>0.3135755258126195</v>
      </c>
      <c r="E39" s="7"/>
      <c r="F39" s="7"/>
    </row>
    <row r="40" spans="2:6" ht="12">
      <c r="B40" s="3" t="s">
        <v>5</v>
      </c>
      <c r="C40" s="6">
        <f>5+31+20+22</f>
        <v>78</v>
      </c>
      <c r="D40" s="13">
        <f t="shared" si="3"/>
        <v>0.1491395793499044</v>
      </c>
      <c r="E40" s="7"/>
      <c r="F40" s="7"/>
    </row>
    <row r="41" spans="2:6" ht="12">
      <c r="B41" s="3" t="s">
        <v>6</v>
      </c>
      <c r="C41" s="6">
        <f>2+14+1+4</f>
        <v>21</v>
      </c>
      <c r="D41" s="13">
        <f t="shared" si="3"/>
        <v>0.040152963671128104</v>
      </c>
      <c r="E41" s="7"/>
      <c r="F41" s="7"/>
    </row>
    <row r="42" spans="2:6" ht="12">
      <c r="B42" s="10" t="s">
        <v>7</v>
      </c>
      <c r="C42" s="11">
        <f>0+13+2+0</f>
        <v>15</v>
      </c>
      <c r="D42" s="14">
        <f t="shared" si="3"/>
        <v>0.028680688336520075</v>
      </c>
      <c r="E42" s="7"/>
      <c r="F42" s="7"/>
    </row>
    <row r="43" spans="2:6" ht="12">
      <c r="B43" s="3" t="s">
        <v>2</v>
      </c>
      <c r="C43" s="6">
        <f>SUM(C38:C42)</f>
        <v>523</v>
      </c>
      <c r="D43" s="13">
        <f t="shared" si="3"/>
        <v>1</v>
      </c>
      <c r="E43" s="6"/>
      <c r="F43" s="6"/>
    </row>
    <row r="48" spans="1:4" s="5" customFormat="1" ht="12.75">
      <c r="A48" s="5" t="s">
        <v>26</v>
      </c>
      <c r="D48" s="16"/>
    </row>
    <row r="49" spans="2:6" ht="12">
      <c r="B49" s="3" t="s">
        <v>8</v>
      </c>
      <c r="C49" s="6">
        <f>4+59+43+58</f>
        <v>164</v>
      </c>
      <c r="D49" s="13">
        <f aca="true" t="shared" si="4" ref="D49:D56">C49/$C$56</f>
        <v>0.24924012158054712</v>
      </c>
      <c r="E49" s="7"/>
      <c r="F49" s="7"/>
    </row>
    <row r="50" spans="2:6" ht="12">
      <c r="B50" s="3" t="s">
        <v>9</v>
      </c>
      <c r="C50" s="6">
        <f>4+61+34+42</f>
        <v>141</v>
      </c>
      <c r="D50" s="13">
        <f t="shared" si="4"/>
        <v>0.21428571428571427</v>
      </c>
      <c r="E50" s="7"/>
      <c r="F50" s="7"/>
    </row>
    <row r="51" spans="2:6" ht="12">
      <c r="B51" s="3" t="s">
        <v>10</v>
      </c>
      <c r="C51" s="6">
        <f>7+82+47+51</f>
        <v>187</v>
      </c>
      <c r="D51" s="13">
        <f t="shared" si="4"/>
        <v>0.28419452887537994</v>
      </c>
      <c r="E51" s="7"/>
      <c r="F51" s="7"/>
    </row>
    <row r="52" spans="2:6" ht="12">
      <c r="B52" s="3" t="s">
        <v>11</v>
      </c>
      <c r="C52" s="6">
        <f>6+13+7+5</f>
        <v>31</v>
      </c>
      <c r="D52" s="13">
        <f t="shared" si="4"/>
        <v>0.04711246200607903</v>
      </c>
      <c r="E52" s="7"/>
      <c r="F52" s="7"/>
    </row>
    <row r="53" spans="2:6" ht="12">
      <c r="B53" s="3" t="s">
        <v>12</v>
      </c>
      <c r="C53" s="6">
        <f>1+11+15+11</f>
        <v>38</v>
      </c>
      <c r="D53" s="13">
        <f t="shared" si="4"/>
        <v>0.057750759878419454</v>
      </c>
      <c r="E53" s="7"/>
      <c r="F53" s="7"/>
    </row>
    <row r="54" spans="2:6" ht="12">
      <c r="B54" s="3" t="s">
        <v>13</v>
      </c>
      <c r="C54" s="6">
        <f>0+11+9+8</f>
        <v>28</v>
      </c>
      <c r="D54" s="13">
        <f t="shared" si="4"/>
        <v>0.0425531914893617</v>
      </c>
      <c r="E54" s="7"/>
      <c r="F54" s="7"/>
    </row>
    <row r="55" spans="2:6" ht="12">
      <c r="B55" s="10" t="s">
        <v>1</v>
      </c>
      <c r="C55" s="11">
        <f>4+28+14+23</f>
        <v>69</v>
      </c>
      <c r="D55" s="14">
        <f t="shared" si="4"/>
        <v>0.10486322188449848</v>
      </c>
      <c r="E55" s="7"/>
      <c r="F55" s="7"/>
    </row>
    <row r="56" spans="2:6" ht="12">
      <c r="B56" s="3" t="s">
        <v>2</v>
      </c>
      <c r="C56" s="6">
        <f>SUM(C49:C55)</f>
        <v>658</v>
      </c>
      <c r="D56" s="13">
        <f t="shared" si="4"/>
        <v>1</v>
      </c>
      <c r="E56" s="6"/>
      <c r="F56" s="6"/>
    </row>
    <row r="57" ht="12">
      <c r="A57" s="3" t="s">
        <v>0</v>
      </c>
    </row>
    <row r="59" spans="1:5" ht="12.75">
      <c r="A59" s="5" t="s">
        <v>27</v>
      </c>
      <c r="B59" s="5"/>
      <c r="C59" s="5"/>
      <c r="D59" s="16"/>
      <c r="E59" s="5"/>
    </row>
    <row r="60" spans="2:5" ht="12">
      <c r="B60" s="3" t="s">
        <v>28</v>
      </c>
      <c r="C60" s="6">
        <f>6+117+50+55</f>
        <v>228</v>
      </c>
      <c r="D60" s="13">
        <f>C60/$C$64</f>
        <v>0.4418604651162791</v>
      </c>
      <c r="E60" s="7"/>
    </row>
    <row r="61" spans="2:5" ht="12">
      <c r="B61" s="3" t="s">
        <v>14</v>
      </c>
      <c r="C61" s="6">
        <f>7+20+15+22</f>
        <v>64</v>
      </c>
      <c r="D61" s="13">
        <f>C61/$C$64</f>
        <v>0.12403100775193798</v>
      </c>
      <c r="E61" s="7"/>
    </row>
    <row r="62" spans="2:5" ht="12">
      <c r="B62" s="3" t="s">
        <v>15</v>
      </c>
      <c r="C62" s="6">
        <f>5+45+23+36</f>
        <v>109</v>
      </c>
      <c r="D62" s="13">
        <f>C62/$C$64</f>
        <v>0.21124031007751937</v>
      </c>
      <c r="E62" s="7"/>
    </row>
    <row r="63" spans="2:5" ht="12">
      <c r="B63" s="10" t="s">
        <v>16</v>
      </c>
      <c r="C63" s="11">
        <f>3+37+37+38</f>
        <v>115</v>
      </c>
      <c r="D63" s="13">
        <f>C63/$C$64</f>
        <v>0.22286821705426357</v>
      </c>
      <c r="E63" s="7"/>
    </row>
    <row r="64" spans="2:5" ht="12">
      <c r="B64" s="3" t="s">
        <v>2</v>
      </c>
      <c r="C64" s="6">
        <f>SUM(C60:C63)</f>
        <v>516</v>
      </c>
      <c r="D64" s="17">
        <f>C64/$C$64</f>
        <v>1</v>
      </c>
      <c r="E64" s="6"/>
    </row>
    <row r="67" ht="12.75">
      <c r="A67" s="5" t="s">
        <v>29</v>
      </c>
    </row>
    <row r="68" ht="12.75">
      <c r="A68" s="5" t="s">
        <v>30</v>
      </c>
    </row>
    <row r="69" ht="12.75">
      <c r="A69" s="5" t="s">
        <v>31</v>
      </c>
    </row>
    <row r="70" spans="1:4" ht="12.75">
      <c r="A70" s="5" t="s">
        <v>32</v>
      </c>
      <c r="B70" s="5"/>
      <c r="C70" s="5"/>
      <c r="D70" s="16"/>
    </row>
    <row r="71" spans="2:4" ht="12">
      <c r="B71" s="3" t="s">
        <v>3</v>
      </c>
      <c r="C71" s="6">
        <f>11+91+45+81</f>
        <v>228</v>
      </c>
      <c r="D71" s="13">
        <f aca="true" t="shared" si="5" ref="D71:D76">C71/$C$76</f>
        <v>0.456</v>
      </c>
    </row>
    <row r="72" spans="2:4" ht="12">
      <c r="B72" s="3" t="s">
        <v>4</v>
      </c>
      <c r="C72" s="6">
        <f>5+79+50+43</f>
        <v>177</v>
      </c>
      <c r="D72" s="13">
        <f t="shared" si="5"/>
        <v>0.354</v>
      </c>
    </row>
    <row r="73" spans="2:4" ht="12">
      <c r="B73" s="3" t="s">
        <v>5</v>
      </c>
      <c r="C73" s="6">
        <f>2+35+18+22</f>
        <v>77</v>
      </c>
      <c r="D73" s="13">
        <f t="shared" si="5"/>
        <v>0.154</v>
      </c>
    </row>
    <row r="74" spans="2:4" ht="12">
      <c r="B74" s="3" t="s">
        <v>6</v>
      </c>
      <c r="C74" s="6">
        <f>3+4+2+0</f>
        <v>9</v>
      </c>
      <c r="D74" s="13">
        <f t="shared" si="5"/>
        <v>0.018</v>
      </c>
    </row>
    <row r="75" spans="2:4" ht="12">
      <c r="B75" s="10" t="s">
        <v>7</v>
      </c>
      <c r="C75" s="11">
        <f>0+9+0+0</f>
        <v>9</v>
      </c>
      <c r="D75" s="14">
        <f t="shared" si="5"/>
        <v>0.018</v>
      </c>
    </row>
    <row r="76" spans="2:4" ht="12">
      <c r="B76" s="3" t="s">
        <v>2</v>
      </c>
      <c r="C76" s="6">
        <f>SUM(C71:C75)</f>
        <v>500</v>
      </c>
      <c r="D76" s="13">
        <f t="shared" si="5"/>
        <v>1</v>
      </c>
    </row>
    <row r="79" spans="1:4" ht="12.75">
      <c r="A79" s="5" t="s">
        <v>34</v>
      </c>
      <c r="B79" s="5"/>
      <c r="C79" s="5"/>
      <c r="D79" s="16"/>
    </row>
    <row r="80" spans="1:4" ht="12.75">
      <c r="A80" s="5" t="s">
        <v>33</v>
      </c>
      <c r="B80" s="5"/>
      <c r="C80" s="5"/>
      <c r="D80" s="16"/>
    </row>
    <row r="81" spans="2:4" ht="12">
      <c r="B81" s="3" t="s">
        <v>3</v>
      </c>
      <c r="C81" s="6">
        <f>10+88+35+55</f>
        <v>188</v>
      </c>
      <c r="D81" s="13">
        <f aca="true" t="shared" si="6" ref="D81:D86">C81/$C$86</f>
        <v>0.37751004016064255</v>
      </c>
    </row>
    <row r="82" spans="2:4" ht="12">
      <c r="B82" s="3" t="s">
        <v>4</v>
      </c>
      <c r="C82" s="6">
        <f>5+72+48+50</f>
        <v>175</v>
      </c>
      <c r="D82" s="13">
        <f t="shared" si="6"/>
        <v>0.3514056224899598</v>
      </c>
    </row>
    <row r="83" spans="2:4" ht="12">
      <c r="B83" s="3" t="s">
        <v>5</v>
      </c>
      <c r="C83" s="6">
        <f>4+43+30+34</f>
        <v>111</v>
      </c>
      <c r="D83" s="13">
        <f t="shared" si="6"/>
        <v>0.22289156626506024</v>
      </c>
    </row>
    <row r="84" spans="2:4" ht="12">
      <c r="B84" s="3" t="s">
        <v>6</v>
      </c>
      <c r="C84" s="6">
        <f>2+4+1+5</f>
        <v>12</v>
      </c>
      <c r="D84" s="13">
        <f t="shared" si="6"/>
        <v>0.024096385542168676</v>
      </c>
    </row>
    <row r="85" spans="2:4" ht="12">
      <c r="B85" s="10" t="s">
        <v>7</v>
      </c>
      <c r="C85" s="11">
        <f>0+11+0+1</f>
        <v>12</v>
      </c>
      <c r="D85" s="14">
        <f t="shared" si="6"/>
        <v>0.024096385542168676</v>
      </c>
    </row>
    <row r="86" spans="2:4" ht="12">
      <c r="B86" s="3" t="s">
        <v>2</v>
      </c>
      <c r="C86" s="6">
        <f>SUM(C81:C85)</f>
        <v>498</v>
      </c>
      <c r="D86" s="13">
        <f t="shared" si="6"/>
        <v>1</v>
      </c>
    </row>
    <row r="89" spans="1:4" ht="12.75">
      <c r="A89" s="5" t="s">
        <v>35</v>
      </c>
      <c r="B89" s="5"/>
      <c r="C89" s="5"/>
      <c r="D89" s="16"/>
    </row>
    <row r="90" spans="2:4" ht="12">
      <c r="B90" s="3" t="s">
        <v>3</v>
      </c>
      <c r="C90" s="6">
        <f>10+93+56+88</f>
        <v>247</v>
      </c>
      <c r="D90" s="13">
        <f aca="true" t="shared" si="7" ref="D90:D95">C90/$C$95</f>
        <v>0.49498997995991983</v>
      </c>
    </row>
    <row r="91" spans="2:4" ht="12">
      <c r="B91" s="3" t="s">
        <v>4</v>
      </c>
      <c r="C91" s="6">
        <f>7+81+44+41</f>
        <v>173</v>
      </c>
      <c r="D91" s="13">
        <f t="shared" si="7"/>
        <v>0.3466933867735471</v>
      </c>
    </row>
    <row r="92" spans="2:4" ht="12">
      <c r="B92" s="3" t="s">
        <v>5</v>
      </c>
      <c r="C92" s="6">
        <f>3+40+14+17</f>
        <v>74</v>
      </c>
      <c r="D92" s="13">
        <f t="shared" si="7"/>
        <v>0.14829659318637275</v>
      </c>
    </row>
    <row r="93" spans="2:4" ht="12">
      <c r="B93" s="3" t="s">
        <v>6</v>
      </c>
      <c r="C93" s="6">
        <f>1+2+1+1</f>
        <v>5</v>
      </c>
      <c r="D93" s="13">
        <f t="shared" si="7"/>
        <v>0.01002004008016032</v>
      </c>
    </row>
    <row r="94" spans="2:4" ht="12">
      <c r="B94" s="10" t="s">
        <v>7</v>
      </c>
      <c r="C94" s="11">
        <f>0+0+0+0</f>
        <v>0</v>
      </c>
      <c r="D94" s="14">
        <f t="shared" si="7"/>
        <v>0</v>
      </c>
    </row>
    <row r="95" spans="2:4" ht="12">
      <c r="B95" s="3" t="s">
        <v>2</v>
      </c>
      <c r="C95" s="6">
        <f>SUM(C90:C94)</f>
        <v>499</v>
      </c>
      <c r="D95" s="13">
        <f t="shared" si="7"/>
        <v>1</v>
      </c>
    </row>
    <row r="98" ht="12.75">
      <c r="A98" s="5" t="s">
        <v>36</v>
      </c>
    </row>
    <row r="99" spans="1:4" ht="12.75">
      <c r="A99" s="5" t="s">
        <v>37</v>
      </c>
      <c r="B99" s="5"/>
      <c r="C99" s="5"/>
      <c r="D99" s="16"/>
    </row>
    <row r="100" spans="2:4" ht="12">
      <c r="B100" s="3" t="s">
        <v>17</v>
      </c>
      <c r="C100" s="6">
        <f>8+48+41+52</f>
        <v>149</v>
      </c>
      <c r="D100" s="13">
        <f aca="true" t="shared" si="8" ref="D100:D105">C100/$C$105</f>
        <v>0.19201030927835053</v>
      </c>
    </row>
    <row r="101" spans="2:4" ht="12">
      <c r="B101" s="3" t="s">
        <v>20</v>
      </c>
      <c r="C101" s="6">
        <f>8+71+36+38</f>
        <v>153</v>
      </c>
      <c r="D101" s="13">
        <f t="shared" si="8"/>
        <v>0.19716494845360824</v>
      </c>
    </row>
    <row r="102" spans="2:4" ht="12">
      <c r="B102" s="3" t="s">
        <v>18</v>
      </c>
      <c r="C102" s="6">
        <f>12+111+83+92</f>
        <v>298</v>
      </c>
      <c r="D102" s="13">
        <f t="shared" si="8"/>
        <v>0.38402061855670105</v>
      </c>
    </row>
    <row r="103" spans="2:4" ht="12">
      <c r="B103" s="3" t="s">
        <v>19</v>
      </c>
      <c r="C103" s="6">
        <f>7+62+34+44</f>
        <v>147</v>
      </c>
      <c r="D103" s="13">
        <f t="shared" si="8"/>
        <v>0.18943298969072164</v>
      </c>
    </row>
    <row r="104" spans="2:4" ht="12">
      <c r="B104" s="10" t="s">
        <v>1</v>
      </c>
      <c r="C104" s="11">
        <f>2+13+7+7</f>
        <v>29</v>
      </c>
      <c r="D104" s="14">
        <f t="shared" si="8"/>
        <v>0.037371134020618556</v>
      </c>
    </row>
    <row r="105" spans="2:4" ht="12">
      <c r="B105" s="3" t="s">
        <v>2</v>
      </c>
      <c r="C105" s="6">
        <f>SUM(C100:C104)</f>
        <v>776</v>
      </c>
      <c r="D105" s="13">
        <f t="shared" si="8"/>
        <v>1</v>
      </c>
    </row>
    <row r="108" ht="12.75">
      <c r="A108" s="5" t="s">
        <v>38</v>
      </c>
    </row>
    <row r="109" spans="1:4" ht="12.75">
      <c r="A109" s="5" t="s">
        <v>39</v>
      </c>
      <c r="B109" s="5"/>
      <c r="C109" s="5"/>
      <c r="D109" s="16"/>
    </row>
    <row r="110" spans="2:4" ht="12">
      <c r="B110" s="18" t="s">
        <v>40</v>
      </c>
      <c r="C110" s="6">
        <f>209+120+147</f>
        <v>476</v>
      </c>
      <c r="D110" s="13">
        <f>C110/$C$112</f>
        <v>0.9425742574257425</v>
      </c>
    </row>
    <row r="111" spans="2:4" ht="12">
      <c r="B111" s="19" t="s">
        <v>41</v>
      </c>
      <c r="C111" s="11">
        <f>17+6+6</f>
        <v>29</v>
      </c>
      <c r="D111" s="14">
        <f>C111/$C$112</f>
        <v>0.05742574257425743</v>
      </c>
    </row>
    <row r="112" spans="2:4" ht="12">
      <c r="B112" s="3" t="s">
        <v>2</v>
      </c>
      <c r="C112" s="6">
        <f>SUM(C110:C111)</f>
        <v>505</v>
      </c>
      <c r="D112" s="13">
        <f>C112/$C$112</f>
        <v>1</v>
      </c>
    </row>
    <row r="115" spans="1:4" ht="12.75">
      <c r="A115" s="5" t="s">
        <v>42</v>
      </c>
      <c r="B115" s="5"/>
      <c r="C115" s="5"/>
      <c r="D115" s="16"/>
    </row>
    <row r="116" spans="1:4" ht="12.75">
      <c r="A116" s="5" t="s">
        <v>43</v>
      </c>
      <c r="B116" s="5"/>
      <c r="C116" s="5"/>
      <c r="D116" s="16"/>
    </row>
    <row r="117" spans="2:4" ht="12">
      <c r="B117" s="18" t="s">
        <v>40</v>
      </c>
      <c r="C117" s="6">
        <f>204+116+142</f>
        <v>462</v>
      </c>
      <c r="D117" s="13">
        <f>C117/$C$119</f>
        <v>0.9221556886227545</v>
      </c>
    </row>
    <row r="118" spans="2:4" ht="12">
      <c r="B118" s="19" t="s">
        <v>41</v>
      </c>
      <c r="C118" s="11">
        <f>20+9+10</f>
        <v>39</v>
      </c>
      <c r="D118" s="14">
        <f>C118/$C$119</f>
        <v>0.07784431137724551</v>
      </c>
    </row>
    <row r="119" spans="2:4" ht="12">
      <c r="B119" s="3" t="s">
        <v>2</v>
      </c>
      <c r="C119" s="6">
        <f>SUM(C117:C118)</f>
        <v>501</v>
      </c>
      <c r="D119" s="13">
        <f>C119/$C$119</f>
        <v>1</v>
      </c>
    </row>
    <row r="122" spans="1:4" ht="12.75">
      <c r="A122" s="5" t="s">
        <v>45</v>
      </c>
      <c r="B122" s="5"/>
      <c r="C122" s="5"/>
      <c r="D122" s="16"/>
    </row>
    <row r="123" spans="1:4" ht="12.75">
      <c r="A123" s="5" t="s">
        <v>44</v>
      </c>
      <c r="B123" s="5"/>
      <c r="C123" s="5"/>
      <c r="D123" s="16"/>
    </row>
    <row r="124" spans="2:4" ht="12">
      <c r="B124" s="18" t="s">
        <v>40</v>
      </c>
      <c r="C124" s="6">
        <f>204+121+143</f>
        <v>468</v>
      </c>
      <c r="D124" s="13">
        <f>C124/$C$126</f>
        <v>0.9416498993963782</v>
      </c>
    </row>
    <row r="125" spans="2:4" ht="12">
      <c r="B125" s="19" t="s">
        <v>41</v>
      </c>
      <c r="C125" s="11">
        <f>17+3+9</f>
        <v>29</v>
      </c>
      <c r="D125" s="14">
        <f>C125/$C$126</f>
        <v>0.05835010060362173</v>
      </c>
    </row>
    <row r="126" spans="2:4" ht="12">
      <c r="B126" s="3" t="s">
        <v>2</v>
      </c>
      <c r="C126" s="6">
        <f>SUM(C124:C125)</f>
        <v>497</v>
      </c>
      <c r="D126" s="13">
        <f>C126/$C$126</f>
        <v>1</v>
      </c>
    </row>
    <row r="129" spans="1:4" ht="12.75">
      <c r="A129" s="5" t="s">
        <v>46</v>
      </c>
      <c r="B129" s="5"/>
      <c r="C129" s="5"/>
      <c r="D129" s="16"/>
    </row>
    <row r="130" spans="2:4" ht="12">
      <c r="B130" s="18" t="s">
        <v>40</v>
      </c>
      <c r="C130" s="6">
        <f>165+71+100</f>
        <v>336</v>
      </c>
      <c r="D130" s="13">
        <f>C130/$C$132</f>
        <v>0.6746987951807228</v>
      </c>
    </row>
    <row r="131" spans="2:4" ht="12">
      <c r="B131" s="19" t="s">
        <v>41</v>
      </c>
      <c r="C131" s="11">
        <f>55+55+52</f>
        <v>162</v>
      </c>
      <c r="D131" s="14">
        <f>C131/$C$132</f>
        <v>0.3253012048192771</v>
      </c>
    </row>
    <row r="132" spans="2:4" ht="12">
      <c r="B132" s="3" t="s">
        <v>2</v>
      </c>
      <c r="C132" s="6">
        <f>SUM(C130:C131)</f>
        <v>498</v>
      </c>
      <c r="D132" s="13">
        <f>C132/$C$126</f>
        <v>1.0020120724346075</v>
      </c>
    </row>
    <row r="135" spans="1:4" ht="12.75">
      <c r="A135" s="21" t="s">
        <v>62</v>
      </c>
      <c r="B135" s="5"/>
      <c r="C135" s="5"/>
      <c r="D135" s="16"/>
    </row>
    <row r="136" spans="2:4" ht="12">
      <c r="B136" s="18" t="s">
        <v>40</v>
      </c>
      <c r="C136" s="6">
        <f>208+117+146</f>
        <v>471</v>
      </c>
      <c r="D136" s="13">
        <f>C136/$C$138</f>
        <v>0.942</v>
      </c>
    </row>
    <row r="137" spans="2:4" ht="12">
      <c r="B137" s="19" t="s">
        <v>41</v>
      </c>
      <c r="C137" s="11">
        <f>16+7+6</f>
        <v>29</v>
      </c>
      <c r="D137" s="14">
        <f>C137/$C$138</f>
        <v>0.058</v>
      </c>
    </row>
    <row r="138" spans="2:4" ht="12">
      <c r="B138" s="3" t="s">
        <v>2</v>
      </c>
      <c r="C138" s="6">
        <f>SUM(C136:C137)</f>
        <v>500</v>
      </c>
      <c r="D138" s="13">
        <f>C138/$C$138</f>
        <v>1</v>
      </c>
    </row>
    <row r="141" spans="1:4" ht="12.75">
      <c r="A141" s="21" t="s">
        <v>47</v>
      </c>
      <c r="B141" s="5"/>
      <c r="C141" s="5"/>
      <c r="D141" s="16"/>
    </row>
    <row r="142" spans="2:4" ht="12">
      <c r="B142" s="18" t="s">
        <v>40</v>
      </c>
      <c r="C142" s="6">
        <f>178+85+115</f>
        <v>378</v>
      </c>
      <c r="D142" s="13">
        <f>C142/$C$144</f>
        <v>0.7529880478087649</v>
      </c>
    </row>
    <row r="143" spans="2:4" ht="12">
      <c r="B143" s="19" t="s">
        <v>41</v>
      </c>
      <c r="C143" s="11">
        <f>46+41+37</f>
        <v>124</v>
      </c>
      <c r="D143" s="14">
        <f>C143/$C$144</f>
        <v>0.24701195219123506</v>
      </c>
    </row>
    <row r="144" spans="2:4" ht="12">
      <c r="B144" s="3" t="s">
        <v>2</v>
      </c>
      <c r="C144" s="6">
        <f>SUM(C142:C143)</f>
        <v>502</v>
      </c>
      <c r="D144" s="13">
        <f>C144/$C$144</f>
        <v>1</v>
      </c>
    </row>
    <row r="147" ht="12.75">
      <c r="A147" s="5" t="s">
        <v>48</v>
      </c>
    </row>
    <row r="148" spans="1:4" ht="12.75">
      <c r="A148" s="5" t="s">
        <v>49</v>
      </c>
      <c r="B148" s="5"/>
      <c r="C148" s="5"/>
      <c r="D148" s="16"/>
    </row>
    <row r="149" spans="2:4" ht="12">
      <c r="B149" s="1">
        <v>0</v>
      </c>
      <c r="C149" s="6">
        <f>24+1+1</f>
        <v>26</v>
      </c>
      <c r="D149" s="13">
        <f>C149/$C$153</f>
        <v>0.051587301587301584</v>
      </c>
    </row>
    <row r="150" spans="2:4" ht="12">
      <c r="B150" s="1">
        <v>1</v>
      </c>
      <c r="C150" s="6">
        <f>98+19+10</f>
        <v>127</v>
      </c>
      <c r="D150" s="13">
        <f>C150/$C$153</f>
        <v>0.251984126984127</v>
      </c>
    </row>
    <row r="151" spans="2:4" ht="12">
      <c r="B151" s="1">
        <v>2</v>
      </c>
      <c r="C151" s="6">
        <f>103+61+63</f>
        <v>227</v>
      </c>
      <c r="D151" s="13">
        <f>C151/$C$153</f>
        <v>0.4503968253968254</v>
      </c>
    </row>
    <row r="152" spans="2:4" ht="12">
      <c r="B152" s="20">
        <v>3</v>
      </c>
      <c r="C152" s="11">
        <f>0+45+79</f>
        <v>124</v>
      </c>
      <c r="D152" s="14">
        <f>C152/$C$153</f>
        <v>0.24603174603174602</v>
      </c>
    </row>
    <row r="153" spans="2:4" ht="12">
      <c r="B153" s="3" t="s">
        <v>2</v>
      </c>
      <c r="C153" s="6">
        <f>SUM(C149:C152)</f>
        <v>504</v>
      </c>
      <c r="D153" s="13">
        <f>C153/$C$153</f>
        <v>1</v>
      </c>
    </row>
    <row r="156" spans="1:4" ht="12.75">
      <c r="A156" s="5" t="s">
        <v>51</v>
      </c>
      <c r="B156" s="5"/>
      <c r="C156" s="5"/>
      <c r="D156" s="16"/>
    </row>
    <row r="157" spans="1:4" ht="12.75">
      <c r="A157" s="5" t="s">
        <v>50</v>
      </c>
      <c r="B157" s="5"/>
      <c r="C157" s="5"/>
      <c r="D157" s="16"/>
    </row>
    <row r="158" spans="2:4" ht="12">
      <c r="B158" s="18" t="s">
        <v>40</v>
      </c>
      <c r="C158" s="6">
        <f>224+124+153</f>
        <v>501</v>
      </c>
      <c r="D158" s="13">
        <f>C158/$C$160</f>
        <v>0.99800796812749</v>
      </c>
    </row>
    <row r="159" spans="2:4" ht="12">
      <c r="B159" s="19" t="s">
        <v>41</v>
      </c>
      <c r="C159" s="11">
        <f>0+1+0</f>
        <v>1</v>
      </c>
      <c r="D159" s="14">
        <f>C159/$C$160</f>
        <v>0.00199203187250996</v>
      </c>
    </row>
    <row r="160" spans="2:4" ht="12">
      <c r="B160" s="3" t="s">
        <v>2</v>
      </c>
      <c r="C160" s="6">
        <f>SUM(C158:C159)</f>
        <v>502</v>
      </c>
      <c r="D160" s="13">
        <f>C160/$C$160</f>
        <v>1</v>
      </c>
    </row>
    <row r="163" spans="1:4" ht="12.75">
      <c r="A163" s="5" t="s">
        <v>52</v>
      </c>
      <c r="B163" s="5"/>
      <c r="C163" s="5"/>
      <c r="D163" s="16"/>
    </row>
    <row r="164" spans="2:4" ht="12">
      <c r="B164" s="3" t="s">
        <v>3</v>
      </c>
      <c r="C164" s="6">
        <f>121+85+111</f>
        <v>317</v>
      </c>
      <c r="D164" s="13">
        <f aca="true" t="shared" si="9" ref="D164:D169">C164/$C$169</f>
        <v>0.6314741035856574</v>
      </c>
    </row>
    <row r="165" spans="2:4" ht="12">
      <c r="B165" s="3" t="s">
        <v>4</v>
      </c>
      <c r="C165" s="6">
        <f>61+31+30</f>
        <v>122</v>
      </c>
      <c r="D165" s="13">
        <f t="shared" si="9"/>
        <v>0.24302788844621515</v>
      </c>
    </row>
    <row r="166" spans="2:4" ht="12">
      <c r="B166" s="3" t="s">
        <v>5</v>
      </c>
      <c r="C166" s="6">
        <f>40+7+9</f>
        <v>56</v>
      </c>
      <c r="D166" s="13">
        <f t="shared" si="9"/>
        <v>0.11155378486055777</v>
      </c>
    </row>
    <row r="167" spans="2:4" ht="12">
      <c r="B167" s="3" t="s">
        <v>6</v>
      </c>
      <c r="C167" s="6">
        <f>2+2+1</f>
        <v>5</v>
      </c>
      <c r="D167" s="13">
        <f t="shared" si="9"/>
        <v>0.0099601593625498</v>
      </c>
    </row>
    <row r="168" spans="2:4" ht="12">
      <c r="B168" s="10" t="s">
        <v>7</v>
      </c>
      <c r="C168" s="11">
        <f>1+1+0</f>
        <v>2</v>
      </c>
      <c r="D168" s="14">
        <f t="shared" si="9"/>
        <v>0.00398406374501992</v>
      </c>
    </row>
    <row r="169" spans="2:4" ht="12">
      <c r="B169" s="3" t="s">
        <v>2</v>
      </c>
      <c r="C169" s="6">
        <f>SUM(C164:C168)</f>
        <v>502</v>
      </c>
      <c r="D169" s="13">
        <f t="shared" si="9"/>
        <v>1</v>
      </c>
    </row>
    <row r="172" spans="1:4" ht="12.75">
      <c r="A172" s="5" t="s">
        <v>53</v>
      </c>
      <c r="B172" s="5"/>
      <c r="C172" s="5"/>
      <c r="D172" s="16"/>
    </row>
    <row r="173" spans="2:4" ht="12">
      <c r="B173" s="18" t="s">
        <v>40</v>
      </c>
      <c r="C173" s="6">
        <f>210+123+151</f>
        <v>484</v>
      </c>
      <c r="D173" s="13">
        <f>C173/$C$175</f>
        <v>0.969939879759519</v>
      </c>
    </row>
    <row r="174" spans="2:4" ht="12">
      <c r="B174" s="19" t="s">
        <v>41</v>
      </c>
      <c r="C174" s="11">
        <f>14+1+0</f>
        <v>15</v>
      </c>
      <c r="D174" s="14">
        <f>C174/$C$175</f>
        <v>0.03006012024048096</v>
      </c>
    </row>
    <row r="175" spans="2:4" ht="12">
      <c r="B175" s="3" t="s">
        <v>2</v>
      </c>
      <c r="C175" s="6">
        <f>SUM(C173:C174)</f>
        <v>499</v>
      </c>
      <c r="D175" s="13">
        <f>C175/$C$175</f>
        <v>1</v>
      </c>
    </row>
    <row r="178" spans="1:4" ht="12.75">
      <c r="A178" s="21" t="s">
        <v>54</v>
      </c>
      <c r="B178" s="5"/>
      <c r="C178" s="5"/>
      <c r="D178" s="16"/>
    </row>
    <row r="179" spans="1:4" ht="12">
      <c r="A179"/>
      <c r="B179" s="18" t="s">
        <v>40</v>
      </c>
      <c r="C179" s="6">
        <f>213+115+147</f>
        <v>475</v>
      </c>
      <c r="D179" s="13">
        <f>C179/$C$181</f>
        <v>0.9519038076152304</v>
      </c>
    </row>
    <row r="180" spans="2:4" ht="12">
      <c r="B180" s="19" t="s">
        <v>41</v>
      </c>
      <c r="C180" s="11">
        <f>10+9+5</f>
        <v>24</v>
      </c>
      <c r="D180" s="14">
        <f>C180/$C$181</f>
        <v>0.04809619238476954</v>
      </c>
    </row>
    <row r="181" spans="2:4" ht="12">
      <c r="B181" s="3" t="s">
        <v>2</v>
      </c>
      <c r="C181" s="6">
        <f>SUM(C179:C180)</f>
        <v>499</v>
      </c>
      <c r="D181" s="13">
        <f>C181/$C$181</f>
        <v>1</v>
      </c>
    </row>
    <row r="184" ht="12.75">
      <c r="A184" s="5" t="s">
        <v>55</v>
      </c>
    </row>
    <row r="185" spans="1:4" ht="12.75">
      <c r="A185" s="5" t="s">
        <v>56</v>
      </c>
      <c r="B185" s="5"/>
      <c r="C185" s="5"/>
      <c r="D185" s="16"/>
    </row>
    <row r="186" spans="2:4" ht="12">
      <c r="B186" s="18" t="s">
        <v>40</v>
      </c>
      <c r="C186" s="6">
        <f>222+127+150</f>
        <v>499</v>
      </c>
      <c r="D186" s="13">
        <f>C186/$C$188</f>
        <v>0.9940239043824701</v>
      </c>
    </row>
    <row r="187" spans="2:4" ht="12">
      <c r="B187" s="19" t="s">
        <v>41</v>
      </c>
      <c r="C187" s="11">
        <f>0+0+3</f>
        <v>3</v>
      </c>
      <c r="D187" s="14">
        <f>C187/$C$188</f>
        <v>0.00597609561752988</v>
      </c>
    </row>
    <row r="188" spans="2:4" ht="12">
      <c r="B188" s="3" t="s">
        <v>2</v>
      </c>
      <c r="C188" s="6">
        <f>SUM(C186:C187)</f>
        <v>502</v>
      </c>
      <c r="D188" s="13">
        <f>C188/$C$188</f>
        <v>1</v>
      </c>
    </row>
    <row r="191" spans="1:4" ht="12.75">
      <c r="A191" s="5" t="s">
        <v>58</v>
      </c>
      <c r="B191" s="5"/>
      <c r="C191" s="5"/>
      <c r="D191" s="16"/>
    </row>
    <row r="192" spans="1:4" ht="12.75">
      <c r="A192" s="5" t="s">
        <v>57</v>
      </c>
      <c r="B192" s="5"/>
      <c r="C192" s="5"/>
      <c r="D192" s="16"/>
    </row>
    <row r="193" spans="2:4" ht="12">
      <c r="B193" s="18" t="s">
        <v>40</v>
      </c>
      <c r="C193" s="6">
        <f>217+119+144</f>
        <v>480</v>
      </c>
      <c r="D193" s="13">
        <f>C193/$C$195</f>
        <v>0.9542743538767395</v>
      </c>
    </row>
    <row r="194" spans="2:4" ht="12">
      <c r="B194" s="19" t="s">
        <v>41</v>
      </c>
      <c r="C194" s="11">
        <f>6+8+9</f>
        <v>23</v>
      </c>
      <c r="D194" s="14">
        <f>C194/$C$195</f>
        <v>0.04572564612326044</v>
      </c>
    </row>
    <row r="195" spans="2:4" ht="12">
      <c r="B195" s="3" t="s">
        <v>2</v>
      </c>
      <c r="C195" s="6">
        <f>SUM(C193:C194)</f>
        <v>503</v>
      </c>
      <c r="D195" s="13">
        <f>C195/$C$195</f>
        <v>1</v>
      </c>
    </row>
    <row r="198" spans="1:4" ht="12.75">
      <c r="A198" s="5" t="s">
        <v>59</v>
      </c>
      <c r="B198" s="5"/>
      <c r="C198" s="5"/>
      <c r="D198" s="16"/>
    </row>
    <row r="199" spans="2:4" ht="12">
      <c r="B199" s="18" t="s">
        <v>40</v>
      </c>
      <c r="C199" s="6">
        <f>218+112+133</f>
        <v>463</v>
      </c>
      <c r="D199" s="13">
        <f>C199/$C$201</f>
        <v>0.9223107569721115</v>
      </c>
    </row>
    <row r="200" spans="2:4" ht="12">
      <c r="B200" s="19" t="s">
        <v>41</v>
      </c>
      <c r="C200" s="11">
        <f>6+15+18</f>
        <v>39</v>
      </c>
      <c r="D200" s="14">
        <f>C200/$C$201</f>
        <v>0.07768924302788845</v>
      </c>
    </row>
    <row r="201" spans="2:4" ht="12">
      <c r="B201" s="3" t="s">
        <v>2</v>
      </c>
      <c r="C201" s="6">
        <f>SUM(C199:C200)</f>
        <v>502</v>
      </c>
      <c r="D201" s="13">
        <f>C201/$C$201</f>
        <v>1</v>
      </c>
    </row>
    <row r="204" spans="1:4" ht="12.75">
      <c r="A204" s="5" t="s">
        <v>60</v>
      </c>
      <c r="B204" s="5"/>
      <c r="C204" s="5"/>
      <c r="D204" s="16"/>
    </row>
    <row r="205" spans="2:4" ht="12">
      <c r="B205" s="18" t="s">
        <v>40</v>
      </c>
      <c r="C205" s="6">
        <f>220+118+144</f>
        <v>482</v>
      </c>
      <c r="D205" s="13">
        <f>C205/$C$207</f>
        <v>0.9620758483033932</v>
      </c>
    </row>
    <row r="206" spans="2:4" ht="12">
      <c r="B206" s="19" t="s">
        <v>41</v>
      </c>
      <c r="C206" s="11">
        <f>2+8+9</f>
        <v>19</v>
      </c>
      <c r="D206" s="14">
        <f>C206/$C$207</f>
        <v>0.03792415169660679</v>
      </c>
    </row>
    <row r="207" spans="2:4" ht="12">
      <c r="B207" s="3" t="s">
        <v>2</v>
      </c>
      <c r="C207" s="6">
        <f>SUM(C205:C206)</f>
        <v>501</v>
      </c>
      <c r="D207" s="13">
        <f>C207/$C$207</f>
        <v>1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scale="82" r:id="rId1"/>
  <rowBreaks count="4" manualBreakCount="4">
    <brk id="58" max="4" man="1"/>
    <brk id="107" max="4" man="1"/>
    <brk id="146" max="4" man="1"/>
    <brk id="18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Totten, Marci</dc:creator>
  <cp:keywords/>
  <dc:description/>
  <cp:lastModifiedBy>Totten, Marci</cp:lastModifiedBy>
  <cp:lastPrinted>2007-05-31T05:00:55Z</cp:lastPrinted>
  <dcterms:created xsi:type="dcterms:W3CDTF">2005-05-24T06:17:46Z</dcterms:created>
  <dcterms:modified xsi:type="dcterms:W3CDTF">2012-11-06T16:32:18Z</dcterms:modified>
  <cp:category/>
  <cp:version/>
  <cp:contentType/>
  <cp:contentStatus/>
</cp:coreProperties>
</file>